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396" windowWidth="11556" windowHeight="5316" firstSheet="1" activeTab="1"/>
  </bookViews>
  <sheets>
    <sheet name="Rollover" sheetId="1" state="hidden" r:id="rId1"/>
    <sheet name="Annexuere D3" sheetId="3" r:id="rId2"/>
  </sheets>
  <definedNames>
    <definedName name="_xlnm.Print_Area" localSheetId="1">'Annexuere D3'!$A$1:$AB$20</definedName>
    <definedName name="_xlnm.Print_Area" localSheetId="0">Rollover!$A$1:$N$70</definedName>
    <definedName name="_xlnm.Print_Titles" localSheetId="1">'Annexuere D3'!$2:$3</definedName>
    <definedName name="_xlnm.Print_Titles" localSheetId="0">Rollover!$4:$5</definedName>
  </definedNames>
  <calcPr calcId="145621"/>
</workbook>
</file>

<file path=xl/calcChain.xml><?xml version="1.0" encoding="utf-8"?>
<calcChain xmlns="http://schemas.openxmlformats.org/spreadsheetml/2006/main">
  <c r="R20" i="3" l="1"/>
  <c r="X19" i="3"/>
  <c r="K16" i="3"/>
  <c r="L16" i="3" s="1"/>
  <c r="I17" i="3"/>
  <c r="K17" i="3" s="1"/>
  <c r="L17" i="3" s="1"/>
  <c r="X15" i="3"/>
  <c r="X9" i="3"/>
  <c r="U19" i="3" l="1"/>
  <c r="S7" i="3" l="1"/>
  <c r="S6" i="3"/>
  <c r="S5" i="3"/>
  <c r="S4" i="3"/>
  <c r="N6" i="3" l="1"/>
  <c r="M6" i="3"/>
  <c r="J6" i="3"/>
  <c r="K6" i="3" s="1"/>
  <c r="G9" i="3"/>
  <c r="H7" i="3"/>
  <c r="H6" i="3"/>
  <c r="H5" i="3"/>
  <c r="H4" i="3"/>
  <c r="M8" i="3"/>
  <c r="M13" i="3"/>
  <c r="J14" i="3"/>
  <c r="K14" i="3" s="1"/>
  <c r="L14" i="3" s="1"/>
  <c r="J13" i="3"/>
  <c r="J9" i="3"/>
  <c r="K9" i="3" s="1"/>
  <c r="L9" i="3" s="1"/>
  <c r="J7" i="3"/>
  <c r="K7" i="3" s="1"/>
  <c r="L7" i="3" s="1"/>
  <c r="J5" i="3"/>
  <c r="K5" i="3" s="1"/>
  <c r="L5" i="3" s="1"/>
  <c r="J4" i="3"/>
  <c r="K4" i="3" s="1"/>
  <c r="L4" i="3" s="1"/>
  <c r="J54" i="1"/>
  <c r="J56" i="1" s="1"/>
  <c r="I13" i="3"/>
  <c r="I10" i="3"/>
  <c r="K19" i="3"/>
  <c r="K18" i="3"/>
  <c r="L18" i="3" s="1"/>
  <c r="K15" i="3"/>
  <c r="L15" i="3" s="1"/>
  <c r="K12" i="3"/>
  <c r="L12" i="3" s="1"/>
  <c r="K11" i="3"/>
  <c r="L11" i="3" s="1"/>
  <c r="J8" i="3"/>
  <c r="K8" i="3" s="1"/>
  <c r="F8" i="1"/>
  <c r="F10" i="1" s="1"/>
  <c r="I8" i="1"/>
  <c r="I10" i="1"/>
  <c r="F9" i="1"/>
  <c r="G9" i="1" s="1"/>
  <c r="D9" i="1"/>
  <c r="I9" i="1"/>
  <c r="H10" i="1"/>
  <c r="J10" i="1"/>
  <c r="E13" i="1"/>
  <c r="F13" i="1"/>
  <c r="I13" i="1"/>
  <c r="F14" i="1"/>
  <c r="I14" i="1"/>
  <c r="I23" i="1" s="1"/>
  <c r="E15" i="1"/>
  <c r="F15" i="1"/>
  <c r="G15" i="1" s="1"/>
  <c r="I15" i="1"/>
  <c r="F16" i="1"/>
  <c r="E16" i="1" s="1"/>
  <c r="I16" i="1"/>
  <c r="F17" i="1"/>
  <c r="G17" i="1"/>
  <c r="I17" i="1"/>
  <c r="F18" i="1"/>
  <c r="G18" i="1" s="1"/>
  <c r="I18" i="1"/>
  <c r="D19" i="1"/>
  <c r="G19" i="1"/>
  <c r="I19" i="1"/>
  <c r="F20" i="1"/>
  <c r="G20" i="1" s="1"/>
  <c r="I20" i="1"/>
  <c r="F21" i="1"/>
  <c r="D21" i="1" s="1"/>
  <c r="I21" i="1"/>
  <c r="E22" i="1"/>
  <c r="F22" i="1"/>
  <c r="G22" i="1" s="1"/>
  <c r="I22" i="1"/>
  <c r="H23" i="1"/>
  <c r="J23" i="1"/>
  <c r="D26" i="1"/>
  <c r="G26" i="1"/>
  <c r="G27" i="1"/>
  <c r="I26" i="1"/>
  <c r="I27" i="1" s="1"/>
  <c r="F27" i="1"/>
  <c r="H27" i="1"/>
  <c r="J27" i="1"/>
  <c r="D30" i="1"/>
  <c r="G30" i="1"/>
  <c r="I30" i="1"/>
  <c r="F31" i="1"/>
  <c r="F33" i="1" s="1"/>
  <c r="H31" i="1"/>
  <c r="H33" i="1" s="1"/>
  <c r="I31" i="1"/>
  <c r="D32" i="1"/>
  <c r="G32" i="1"/>
  <c r="I32" i="1"/>
  <c r="J33" i="1"/>
  <c r="F36" i="1"/>
  <c r="H36" i="1"/>
  <c r="I36" i="1" s="1"/>
  <c r="F37" i="1"/>
  <c r="G37" i="1" s="1"/>
  <c r="I37" i="1"/>
  <c r="F38" i="1"/>
  <c r="I38" i="1"/>
  <c r="J39" i="1"/>
  <c r="F42" i="1"/>
  <c r="G42" i="1" s="1"/>
  <c r="I42" i="1"/>
  <c r="F43" i="1"/>
  <c r="G43" i="1" s="1"/>
  <c r="I43" i="1"/>
  <c r="F44" i="1"/>
  <c r="H44" i="1"/>
  <c r="J44" i="1"/>
  <c r="J47" i="1" s="1"/>
  <c r="F45" i="1"/>
  <c r="G45" i="1" s="1"/>
  <c r="I45" i="1"/>
  <c r="D46" i="1"/>
  <c r="G46" i="1"/>
  <c r="I46" i="1"/>
  <c r="F50" i="1"/>
  <c r="F51" i="1" s="1"/>
  <c r="I50" i="1"/>
  <c r="I51" i="1" s="1"/>
  <c r="H51" i="1"/>
  <c r="J51" i="1"/>
  <c r="F54" i="1"/>
  <c r="H54" i="1"/>
  <c r="H56" i="1" s="1"/>
  <c r="G54" i="1"/>
  <c r="D55" i="1"/>
  <c r="F55" i="1"/>
  <c r="G55" i="1" s="1"/>
  <c r="I55" i="1"/>
  <c r="F59" i="1"/>
  <c r="F60" i="1" s="1"/>
  <c r="G59" i="1"/>
  <c r="G60" i="1" s="1"/>
  <c r="I59" i="1"/>
  <c r="I60" i="1" s="1"/>
  <c r="H60" i="1"/>
  <c r="J60" i="1"/>
  <c r="D63" i="1"/>
  <c r="F63" i="1"/>
  <c r="G63" i="1"/>
  <c r="G64" i="1" s="1"/>
  <c r="I63" i="1"/>
  <c r="I64" i="1" s="1"/>
  <c r="F64" i="1"/>
  <c r="H64" i="1"/>
  <c r="J64" i="1"/>
  <c r="G16" i="1"/>
  <c r="G21" i="1"/>
  <c r="D17" i="1"/>
  <c r="G8" i="1"/>
  <c r="I44" i="1"/>
  <c r="G13" i="1"/>
  <c r="G8" i="3"/>
  <c r="G10" i="1" l="1"/>
  <c r="D59" i="1"/>
  <c r="D54" i="1"/>
  <c r="I39" i="1"/>
  <c r="G31" i="1"/>
  <c r="G33" i="1" s="1"/>
  <c r="D31" i="1"/>
  <c r="G36" i="1"/>
  <c r="F23" i="1"/>
  <c r="E50" i="1"/>
  <c r="I33" i="1"/>
  <c r="E18" i="1"/>
  <c r="D37" i="1"/>
  <c r="G50" i="1"/>
  <c r="G51" i="1" s="1"/>
  <c r="I47" i="1"/>
  <c r="G44" i="1"/>
  <c r="G47" i="1" s="1"/>
  <c r="F39" i="1"/>
  <c r="J66" i="1"/>
  <c r="G56" i="1"/>
  <c r="E45" i="1"/>
  <c r="E44" i="1"/>
  <c r="D43" i="1"/>
  <c r="E42" i="1"/>
  <c r="G38" i="1"/>
  <c r="H39" i="1"/>
  <c r="D36" i="1"/>
  <c r="E14" i="1"/>
  <c r="E66" i="1" s="1"/>
  <c r="H47" i="1"/>
  <c r="H66" i="1" s="1"/>
  <c r="F68" i="1" s="1"/>
  <c r="G14" i="1"/>
  <c r="G23" i="1" s="1"/>
  <c r="F56" i="1"/>
  <c r="I54" i="1"/>
  <c r="I56" i="1" s="1"/>
  <c r="F47" i="1"/>
  <c r="E20" i="1"/>
  <c r="L19" i="3"/>
  <c r="L8" i="3"/>
  <c r="L6" i="3"/>
  <c r="K10" i="3"/>
  <c r="K13" i="3"/>
  <c r="L13" i="3" s="1"/>
  <c r="F66" i="1" l="1"/>
  <c r="D66" i="1"/>
  <c r="D67" i="1" s="1"/>
  <c r="G39" i="1"/>
  <c r="G66" i="1" s="1"/>
  <c r="I66" i="1"/>
  <c r="F69" i="1"/>
  <c r="F70" i="1"/>
  <c r="L10" i="3"/>
</calcChain>
</file>

<file path=xl/sharedStrings.xml><?xml version="1.0" encoding="utf-8"?>
<sst xmlns="http://schemas.openxmlformats.org/spreadsheetml/2006/main" count="324" uniqueCount="214">
  <si>
    <t>PROJ NO</t>
  </si>
  <si>
    <t>PROJECT NAME</t>
  </si>
  <si>
    <t>REMAINING</t>
  </si>
  <si>
    <t>LAST PMT</t>
  </si>
  <si>
    <t>RESP MAN</t>
  </si>
  <si>
    <t>COMMENTS BY MANAGER</t>
  </si>
  <si>
    <t>DISASTER MANAGEMENT</t>
  </si>
  <si>
    <t>LAND</t>
  </si>
  <si>
    <t>SPORTS,ARTS AND CULTURE</t>
  </si>
  <si>
    <t>TOTAL ROLLOVER</t>
  </si>
  <si>
    <t>MM</t>
  </si>
  <si>
    <t>ACTUAL % SPENT</t>
  </si>
  <si>
    <t>DM-08</t>
  </si>
  <si>
    <t>DM-17</t>
  </si>
  <si>
    <t>Signage</t>
  </si>
  <si>
    <t>Integrated Financial Management System</t>
  </si>
  <si>
    <t>ABATTOIR</t>
  </si>
  <si>
    <t>COMMUNITY PARTICIPATION &amp; GOOD GOVERNANCE</t>
  </si>
  <si>
    <t>CO-20</t>
  </si>
  <si>
    <t>Anti-fraud Hotline</t>
  </si>
  <si>
    <t>Co-ordination of Sports, Arts and Culture</t>
  </si>
  <si>
    <t>Disaster</t>
  </si>
  <si>
    <t>CSSS</t>
  </si>
  <si>
    <t>PROJ YEAR</t>
  </si>
  <si>
    <t>BUDGET AMOUNT</t>
  </si>
  <si>
    <t>Modimolle &amp; Bela Bela Security Cameras</t>
  </si>
  <si>
    <t>2009 &amp; 2010</t>
  </si>
  <si>
    <t>Feasibility Study of the Wildlife Centre</t>
  </si>
  <si>
    <t>Municipal Environmental Health &amp; Environmental Management</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</si>
  <si>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</si>
  <si>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</si>
  <si>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</si>
  <si>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</si>
  <si>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</si>
  <si>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</si>
  <si>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</si>
  <si>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</si>
  <si>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</si>
  <si>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</si>
  <si>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</si>
  <si>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</si>
  <si>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</si>
  <si>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</si>
  <si>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Local Economic Development &amp; Tourism</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</si>
  <si>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</si>
  <si>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</si>
  <si>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</si>
  <si>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</si>
  <si>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</si>
  <si>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</si>
  <si>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</si>
  <si>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</si>
  <si>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</si>
  <si>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</si>
  <si>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</si>
  <si>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</si>
  <si>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</si>
  <si>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</si>
  <si>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</si>
  <si>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</si>
  <si>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</si>
  <si>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</si>
  <si>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</si>
  <si>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</si>
  <si>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</si>
  <si>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</si>
  <si>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</si>
  <si>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</si>
  <si>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</si>
  <si>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</si>
  <si>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</si>
  <si>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</si>
  <si>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</si>
  <si>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</si>
  <si>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</si>
  <si>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</si>
  <si>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</si>
  <si>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</si>
  <si>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</si>
  <si>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RS-21</t>
  </si>
  <si>
    <t>DM-02</t>
  </si>
  <si>
    <t>Early Warning System of Flood lines</t>
  </si>
  <si>
    <t>Air Quality Emissions Inventory</t>
  </si>
  <si>
    <t>08&amp;09</t>
  </si>
  <si>
    <t>Operating</t>
  </si>
  <si>
    <t>Capital</t>
  </si>
  <si>
    <t>Groblersbrug Port of Entry / Tom Burke Satellite Fire Station - Water Trailer &amp; Equipm &amp; Steenbokpan &amp; Bulgerivier Satellite Fire Station - Water Trailer &amp; Equipment &amp; Villages / Witpoort Fire Station - Equipment</t>
  </si>
  <si>
    <t>PROJECT STATUS REPORT - ROLLED OVER PROJECTS</t>
  </si>
  <si>
    <t>RS041</t>
  </si>
  <si>
    <t>Mogalakwena Streets tarring</t>
  </si>
  <si>
    <t>UNSPENT AT 30 JUNE 2011</t>
  </si>
  <si>
    <t>SPENT 11/12 YEAR</t>
  </si>
  <si>
    <t>2010 &amp; 2011</t>
  </si>
  <si>
    <t>District Batho Pele Activities</t>
  </si>
  <si>
    <t>Modimolle - Medium Double Cab Rapid Intervention Vehicle</t>
  </si>
  <si>
    <t>UE040</t>
  </si>
  <si>
    <t>Waterberg Biosphere Meander Reserve</t>
  </si>
  <si>
    <t>UE034</t>
  </si>
  <si>
    <t>RS021</t>
  </si>
  <si>
    <t>Completion of Modimolle Ring Road</t>
  </si>
  <si>
    <t>RS040</t>
  </si>
  <si>
    <t>Completion of Bela Bela Street Paving</t>
  </si>
  <si>
    <t>IN024</t>
  </si>
  <si>
    <t>PMS</t>
  </si>
  <si>
    <t>IN027</t>
  </si>
  <si>
    <t>IN035</t>
  </si>
  <si>
    <t>Lephalale Municipal Turnaround Strategy Support</t>
  </si>
  <si>
    <t>District Wide VPN Network</t>
  </si>
  <si>
    <t>CO009</t>
  </si>
  <si>
    <t>Communication</t>
  </si>
  <si>
    <t>CO020</t>
  </si>
  <si>
    <t>Anti-fraud helpline</t>
  </si>
  <si>
    <t>IT Audit</t>
  </si>
  <si>
    <t>LA012</t>
  </si>
  <si>
    <t>DM032</t>
  </si>
  <si>
    <t>Fire Station Standby Generator Refurbishment - Mogalakwena</t>
  </si>
  <si>
    <t>DM036</t>
  </si>
  <si>
    <t>DM038</t>
  </si>
  <si>
    <t>IN041</t>
  </si>
  <si>
    <t>IN039</t>
  </si>
  <si>
    <t>Annexure C</t>
  </si>
  <si>
    <t>Project complete.</t>
  </si>
  <si>
    <t>Project completed.</t>
  </si>
  <si>
    <t>Project completed in June 2011, the remaining funds is for aftercare.</t>
  </si>
  <si>
    <t>TOTAL SPENT UP TO 24 October 2011</t>
  </si>
  <si>
    <t>Savings Oct 2011</t>
  </si>
  <si>
    <t xml:space="preserve">The invoices for the monthly remainder for June, July, August,September,October 2011 has been submitteed for processing </t>
  </si>
  <si>
    <t>Project completed</t>
  </si>
  <si>
    <t>Project complete. The savings will be used for Billboard hire, completed the specifications and ready for notice board and website advert.</t>
  </si>
  <si>
    <t xml:space="preserve">Modimolle Security Cameras installed and operational. Still awaiting Bela Bela Municipality to come on board for installation of cameras in their town. PED sent them a letter requesting their project plan, no response yet. WDM's MM will facilitate a meeting with Bela Bela Municipality's MM to come up with the wayfoward. </t>
  </si>
  <si>
    <t>Contract for the main contractor has been terminated. Sub contractors completing the outstanding works.</t>
  </si>
  <si>
    <t>Lephalale Disaster Centre Environmental Impact Assessment</t>
  </si>
  <si>
    <t>The 50% payment after the 1st site inspection was conducted by Messrs. D M Sithole, T van Deventer and J vander Merwe in the USA, Florida State, Ocala E-ONE Plant. The 4X4 Major Urban Rescue Pumper is 100% complete waiting to be shipped to South Africa.</t>
  </si>
  <si>
    <t xml:space="preserve">Limitted bidding approved by MM for appointing Telkom SA for the development of a Toll Free number. Delays are caused by Telkom. Promotional Signage's re-advert closed on 29 August 2011 , was Evaluated on 06 October 2011 and awaiting to be tabled before the Bid Adjudication Committee (BAC). </t>
  </si>
  <si>
    <t xml:space="preserve">The project is completed. final invoice paid. This includes a 3 years maintanance/support services to be done for the UNITI System by Disaster Management Solutions (DMS) . </t>
  </si>
  <si>
    <t>The Contractor Mr. M W Sebela passed away on 5 October 2011. Thus far 2 Boreholes at Mokopane (Segole &amp; Sodoma)  and 2 Boreholes at Lephalale (Ga-Seleka &amp; Madibaneng) were  completed. They were working on completing the last 2 Boreholes at Thabazimbi (Regorogile) and Mogalakwena (Mapela). Project expiry date was Friday, 07 October 2011, application for 1X month extension period received 3 October was approved by MM before his sudden death. Memo written to MM 19 October 2011 for his further advice and direction in this regard to ensure that this project if fully completed.</t>
  </si>
  <si>
    <t>Invitation was placed on the WDM notice board for the 2X Ultra High Pressure Fire Fighting Skid Units for Lephalale local municipality,  SCM evaluated, but 90Days validity period expired before project was approved. Project has been re-advertised on WDM notice board.</t>
  </si>
  <si>
    <t>The service provider has been appointed to do the training and the shortfall will be defrayed from the MSIG vote and implementation commenced in October 2011.</t>
  </si>
  <si>
    <t>Feasibility Study complete. PED has requested permission from OTP to transfer the remaining savings to Beautification of Vaalwater project, no response yet.</t>
  </si>
  <si>
    <t>Project Completed.  Amount outstanding is for contingencies until snaglist is completed plus 5% retention for 12 months.</t>
  </si>
  <si>
    <t>Project Completed. Amount outstanding is for contingencies until snaglist is completed plus 5% retention for 12 months.</t>
  </si>
  <si>
    <t>Project Completed. Awaiting for last invoice and remaining amount outstanding is for contingencies until snaglist is completed plus protective clothing  plus 5% retention for 12 months.</t>
  </si>
  <si>
    <t>Still awaiting firnal invoices to be submitted by IPM for 10/11 year work done.</t>
  </si>
  <si>
    <t>Appointed Munsoft for supply of the IFMS for WDM, Bela Bela &amp; Thabazimbi following SCM Regulations 32 procurement using the public tender of another organ of state in September &amp; October 2011. Modimolle LM has also appointed Munsoft for their IFMS in June 2011.  Approached Lephalale LM for the next phase of the roll-out, still awaiting confirmation.</t>
  </si>
  <si>
    <t>Project complete. Remaining funds to be transferred to IFMS to procure Disaster Modules for LMs. There is currently a shortfall on IFMS for this purpose.</t>
  </si>
  <si>
    <t>A number of institutions were contacted for specs since municipalities haven't done this yet. Specifications has been sourced, all will be reviewed &amp; combined to our needs. Since the project was recommended by IPM, we will first review whether there is still a need to continue with this project.</t>
  </si>
  <si>
    <t>Waste Management - development of landfill sites - initiation of partnerships</t>
  </si>
  <si>
    <t>10/11 Roll Over</t>
  </si>
  <si>
    <t>11/12 IDP</t>
  </si>
  <si>
    <t>Total Budget</t>
  </si>
  <si>
    <t>Feasibility Study of the Wildlife Centre / Vaalwater Beautification (project Wildlife Study)</t>
  </si>
  <si>
    <t>CBD Development Plan &amp; implementation (Mookg &amp; Thab) Roll over - Bela Bela, Modi &amp; Mog</t>
  </si>
  <si>
    <t>PAID 11/12 YEAR</t>
  </si>
  <si>
    <t>Motivated for 12/13 roll over</t>
  </si>
  <si>
    <t>Committed</t>
  </si>
  <si>
    <t>Dpt</t>
  </si>
  <si>
    <t>DM 17 &amp; 37</t>
  </si>
  <si>
    <t>Bela Bela Medium Pumper Vehicle &amp; Equipment</t>
  </si>
  <si>
    <t>Date Awarded</t>
  </si>
  <si>
    <t>Service Provider/ Contractor</t>
  </si>
  <si>
    <t>Amount Awarded (Vat excl)</t>
  </si>
  <si>
    <t>SLA signed</t>
  </si>
  <si>
    <t>On-site start date</t>
  </si>
  <si>
    <t xml:space="preserve">Scope </t>
  </si>
  <si>
    <t>SLA completion date</t>
  </si>
  <si>
    <t>Actual completion Date</t>
  </si>
  <si>
    <t>SLA Extension</t>
  </si>
  <si>
    <t>Manager`s comment</t>
  </si>
  <si>
    <t>Challenges</t>
  </si>
  <si>
    <t>Marce Marketing CC</t>
  </si>
  <si>
    <t>3 months</t>
  </si>
  <si>
    <t>Delivery of a refurbished of a Toyota Dyna to WDM</t>
  </si>
  <si>
    <t>Amount Awarded (Vat incl)</t>
  </si>
  <si>
    <t>Yes</t>
  </si>
  <si>
    <t>None</t>
  </si>
  <si>
    <t>Fire and Emergency Vehicle (Pty) Ltd</t>
  </si>
  <si>
    <t>7 months</t>
  </si>
  <si>
    <t>Delivery of a 4x2 6000L water tanker to WDM</t>
  </si>
  <si>
    <t>Fire Raiders (Pty) Ltd</t>
  </si>
  <si>
    <t>7 Months</t>
  </si>
  <si>
    <t>Delivery of a 4x4 double cab medium pumper &amp; mounted fire fighting Equipments to WDM,registration &amp; road worthy licensing of the trailer</t>
  </si>
  <si>
    <t>Delivery of a 4x2Double cab with fire fighting vehicle and it must be registered &amp; road worthy licensed to WDM</t>
  </si>
  <si>
    <t>Joint Venture MOK Development Consultants and Plan and Associates</t>
  </si>
  <si>
    <t>Sema Integrated Solutions</t>
  </si>
  <si>
    <t>OMM</t>
  </si>
  <si>
    <t>Institute for Performance Management</t>
  </si>
  <si>
    <t>Lephalale Municipality</t>
  </si>
  <si>
    <t>Waterberg Biosphere Reserve</t>
  </si>
  <si>
    <t>No</t>
  </si>
  <si>
    <t>Mafafo Building Construction</t>
  </si>
  <si>
    <t>Mmamokgoshi Construction</t>
  </si>
  <si>
    <t>SITA</t>
  </si>
  <si>
    <t>7th Question Marketing and Communications</t>
  </si>
  <si>
    <t>OEM</t>
  </si>
  <si>
    <t>ANNEXURE D 3 :- WDM CONTRACTS ENTERED INTO DURING 11/12 AS AT  30 SEPTEMBER 2012</t>
  </si>
  <si>
    <t>#</t>
  </si>
  <si>
    <t>Tender Number</t>
  </si>
  <si>
    <t>WDM/2011-12/08</t>
  </si>
  <si>
    <t>WDM/2011-12/11</t>
  </si>
  <si>
    <t>WDM/2011-12/13</t>
  </si>
  <si>
    <t>WDM/2011-12/14</t>
  </si>
  <si>
    <t>WDM/2011-12/21</t>
  </si>
  <si>
    <t>WDM/2011-12/26</t>
  </si>
  <si>
    <t>WDM/2011-12/25</t>
  </si>
  <si>
    <t>LIMITED BIDDING</t>
  </si>
  <si>
    <t>ORGAN OF STATE</t>
  </si>
  <si>
    <t>WDM/2011-12/28</t>
  </si>
  <si>
    <t>WDM/2011-12/22 AND WDM/2011-12/23</t>
  </si>
  <si>
    <t>Thabazimbi Water Tank</t>
  </si>
  <si>
    <t>Munsoft (Pty) Ltd</t>
  </si>
  <si>
    <t>Not yet</t>
  </si>
  <si>
    <t>Project successful</t>
  </si>
  <si>
    <t>Project stalled</t>
  </si>
  <si>
    <t>adherence to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</si>
</sst>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R&quot;\ #,##0;[Red]&quot;R&quot;\ \-#,##0"/>
    <numFmt numFmtId="43" formatCode="_ * #,##0.00_ ;_ * \-#,##0.00_ ;_ * &quot;-&quot;??_ ;_ @_ "/>
    <numFmt numFmtId="164" formatCode="_(* #,##0_);_(* \(#,##0\);_(* &quot;-&quot;_);_(@_)"/>
    <numFmt numFmtId="165" formatCode="_(* #,##0.00_);_(* \(#,##0.00\);_(* &quot;-&quot;??_);_(@_)"/>
    <numFmt numFmtId="166" formatCode="0.00;[Red]0.00"/>
    <numFmt numFmtId="167" formatCode="_ * #,##0_ ;_ * \-#,##0_ ;_ * &quot;-&quot;??_ ;_ @_ "/>
    <numFmt numFmtId="168" formatCode="&quot;R&quot;\ #,##0.00"/>
    <numFmt numFmtId="169" formatCode="[$-409]d\-mmm\-yy;@"/>
    <numFmt numFmtId="170" formatCode="[$-F800]dddd\,\ mmmm\ dd\,\ yyyy"/>
    <numFmt numFmtId="171" formatCode="[$R-46C]\ #,##0"/>
    <numFmt numFmtId="172" formatCode="_(* #,##0_);_(* \(#,##0\);_(* &quot;-&quot;??_);_(@_)"/>
  </numFmts>
  <fonts count="3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sz val="10"/>
      <name val="Arial"/>
      <family val="2"/>
    </font>
    <font>
      <b/>
      <sz val="10"/>
      <color indexed="8"/>
      <name val="Arial"/>
      <family val="2"/>
    </font>
    <font>
      <b/>
      <sz val="12"/>
      <name val="Arial"/>
      <family val="2"/>
    </font>
    <font>
      <sz val="12"/>
      <name val="Arial"/>
      <family val="2"/>
    </font>
    <font>
      <sz val="12"/>
      <color indexed="8"/>
      <name val="Arial"/>
      <family val="2"/>
    </font>
    <font>
      <sz val="10"/>
      <name val="Arial"/>
      <family val="2"/>
    </font>
    <font>
      <sz val="10"/>
      <color rgb="FFFF0000"/>
      <name val="Arial"/>
      <family val="2"/>
    </font>
    <font>
      <b/>
      <sz val="10"/>
      <color rgb="FFFF0000"/>
      <name val="Arial"/>
      <family val="2"/>
    </font>
    <font>
      <sz val="12"/>
      <color rgb="FFFF0000"/>
      <name val="Arial"/>
      <family val="2"/>
    </font>
    <font>
      <b/>
      <sz val="11"/>
      <color theme="1"/>
      <name val="Calibri"/>
      <family val="2"/>
      <scheme val="minor"/>
    </font>
    <font>
      <b/>
      <sz val="1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color indexed="10"/>
      <name val="Calibri"/>
      <family val="2"/>
      <scheme val="minor"/>
    </font>
    <font>
      <b/>
      <sz val="16"/>
      <color theme="1"/>
      <name val="Calibri"/>
      <family val="2"/>
      <scheme val="minor"/>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ill="0" applyBorder="0" applyAlignment="0" applyProtection="0"/>
    <xf numFmtId="43" fontId="22" fillId="0" borderId="0" applyFill="0" applyBorder="0" applyAlignment="0" applyProtection="0"/>
    <xf numFmtId="0" fontId="22" fillId="0" borderId="0" applyFont="0" applyFill="0" applyBorder="0" applyAlignment="0" applyProtection="0"/>
    <xf numFmtId="43" fontId="22" fillId="0" borderId="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66" fontId="2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2" fillId="0" borderId="0"/>
    <xf numFmtId="0" fontId="27"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15" fillId="20" borderId="8" applyNumberFormat="0" applyAlignment="0" applyProtection="0"/>
    <xf numFmtId="9" fontId="27" fillId="0" borderId="0" applyFill="0" applyBorder="0" applyAlignment="0" applyProtection="0"/>
    <xf numFmtId="9" fontId="22"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71">
    <xf numFmtId="0" fontId="0" fillId="0" borderId="0" xfId="0"/>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10" xfId="54" applyFont="1" applyBorder="1" applyAlignment="1">
      <alignment vertical="center"/>
    </xf>
    <xf numFmtId="0" fontId="22" fillId="0" borderId="10" xfId="54" applyFont="1" applyBorder="1" applyAlignment="1">
      <alignment horizontal="center" vertical="center"/>
    </xf>
    <xf numFmtId="0" fontId="21" fillId="0" borderId="10" xfId="54" applyFont="1" applyBorder="1" applyAlignment="1">
      <alignment horizontal="center" vertical="center"/>
    </xf>
    <xf numFmtId="0" fontId="23" fillId="0" borderId="11" xfId="54" applyFont="1" applyBorder="1" applyAlignment="1">
      <alignment horizontal="center" vertical="center" wrapText="1"/>
    </xf>
    <xf numFmtId="0" fontId="21" fillId="0" borderId="10" xfId="54" applyFont="1" applyBorder="1" applyAlignment="1">
      <alignment vertical="center"/>
    </xf>
    <xf numFmtId="0" fontId="22" fillId="0" borderId="10" xfId="54" applyFont="1" applyBorder="1" applyAlignment="1">
      <alignment vertical="center" wrapText="1"/>
    </xf>
    <xf numFmtId="0" fontId="19" fillId="0" borderId="11" xfId="54" applyFont="1" applyBorder="1" applyAlignment="1">
      <alignment horizontal="left" vertical="center" wrapText="1"/>
    </xf>
    <xf numFmtId="0" fontId="19" fillId="0" borderId="11" xfId="54" applyFont="1" applyBorder="1" applyAlignment="1">
      <alignment vertical="center" wrapText="1"/>
    </xf>
    <xf numFmtId="0" fontId="19" fillId="0" borderId="0" xfId="54" applyFont="1" applyFill="1" applyBorder="1" applyAlignment="1">
      <alignment vertical="center" wrapText="1"/>
    </xf>
    <xf numFmtId="0" fontId="19" fillId="0" borderId="12" xfId="54" applyFont="1" applyBorder="1" applyAlignment="1">
      <alignment horizontal="left" vertical="center" wrapText="1"/>
    </xf>
    <xf numFmtId="0" fontId="22" fillId="0" borderId="10" xfId="0" applyFont="1" applyFill="1" applyBorder="1" applyAlignment="1">
      <alignment vertical="center"/>
    </xf>
    <xf numFmtId="0" fontId="19" fillId="0" borderId="12" xfId="54" applyFont="1" applyFill="1" applyBorder="1" applyAlignment="1">
      <alignment horizontal="left" vertical="center" wrapText="1"/>
    </xf>
    <xf numFmtId="0" fontId="22" fillId="0" borderId="10" xfId="54" applyBorder="1" applyAlignment="1">
      <alignment horizontal="center" vertical="center"/>
    </xf>
    <xf numFmtId="0" fontId="19" fillId="0" borderId="13" xfId="54" applyFont="1" applyFill="1" applyBorder="1" applyAlignment="1">
      <alignment horizontal="center" vertical="center" wrapText="1"/>
    </xf>
    <xf numFmtId="0" fontId="19" fillId="0" borderId="11" xfId="54" applyFont="1" applyBorder="1" applyAlignment="1">
      <alignment horizontal="center" vertical="center" wrapText="1"/>
    </xf>
    <xf numFmtId="0" fontId="19" fillId="0" borderId="11" xfId="54" applyFont="1" applyFill="1" applyBorder="1" applyAlignment="1">
      <alignment horizontal="center" vertical="center" wrapText="1"/>
    </xf>
    <xf numFmtId="0" fontId="19" fillId="0" borderId="13" xfId="54" applyFont="1" applyBorder="1" applyAlignment="1">
      <alignment horizontal="center" vertical="center" wrapText="1"/>
    </xf>
    <xf numFmtId="0" fontId="22" fillId="0" borderId="10" xfId="54" applyFont="1" applyFill="1" applyBorder="1" applyAlignment="1">
      <alignment horizontal="center" vertical="center"/>
    </xf>
    <xf numFmtId="0" fontId="22" fillId="0" borderId="10" xfId="54" applyBorder="1" applyAlignment="1">
      <alignment vertical="center"/>
    </xf>
    <xf numFmtId="0" fontId="22" fillId="0" borderId="10" xfId="54" applyNumberFormat="1" applyBorder="1" applyAlignment="1">
      <alignment horizontal="center" vertical="center"/>
    </xf>
    <xf numFmtId="167" fontId="22" fillId="0" borderId="10" xfId="28" applyNumberFormat="1" applyFont="1" applyBorder="1" applyAlignment="1">
      <alignment vertical="center"/>
    </xf>
    <xf numFmtId="167" fontId="22" fillId="0" borderId="10" xfId="28" applyNumberFormat="1" applyFont="1" applyFill="1" applyBorder="1" applyAlignment="1">
      <alignment vertical="center"/>
    </xf>
    <xf numFmtId="167" fontId="21" fillId="0" borderId="10" xfId="28" applyNumberFormat="1" applyFont="1" applyFill="1" applyBorder="1" applyAlignment="1">
      <alignment vertical="center"/>
    </xf>
    <xf numFmtId="3" fontId="21" fillId="0" borderId="10" xfId="54" applyNumberFormat="1" applyFont="1" applyFill="1" applyBorder="1" applyAlignment="1">
      <alignment vertical="center"/>
    </xf>
    <xf numFmtId="0" fontId="22" fillId="0" borderId="10" xfId="0" applyFont="1" applyFill="1" applyBorder="1" applyAlignment="1">
      <alignment horizontal="center" vertical="center"/>
    </xf>
    <xf numFmtId="0" fontId="22" fillId="0" borderId="14" xfId="54" applyFill="1" applyBorder="1" applyAlignment="1">
      <alignment horizontal="center" vertical="center"/>
    </xf>
    <xf numFmtId="0" fontId="22" fillId="0" borderId="16" xfId="54" applyNumberFormat="1" applyBorder="1" applyAlignment="1">
      <alignment horizontal="center" vertical="center"/>
    </xf>
    <xf numFmtId="0" fontId="22" fillId="0" borderId="17" xfId="54" applyFont="1" applyBorder="1" applyAlignment="1">
      <alignment vertical="center"/>
    </xf>
    <xf numFmtId="0" fontId="22" fillId="0" borderId="10" xfId="54" applyFont="1" applyFill="1" applyBorder="1" applyAlignment="1">
      <alignment vertical="center" wrapText="1"/>
    </xf>
    <xf numFmtId="15" fontId="19" fillId="0" borderId="10" xfId="0" applyNumberFormat="1" applyFont="1" applyFill="1" applyBorder="1" applyAlignment="1">
      <alignment vertical="center"/>
    </xf>
    <xf numFmtId="0" fontId="22" fillId="0" borderId="10" xfId="0" applyFont="1" applyFill="1" applyBorder="1" applyAlignment="1">
      <alignment vertical="center" wrapText="1"/>
    </xf>
    <xf numFmtId="167" fontId="28" fillId="0" borderId="0" xfId="28" applyNumberFormat="1" applyFont="1" applyFill="1" applyBorder="1" applyAlignment="1">
      <alignment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15" fontId="21" fillId="0" borderId="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4" fontId="22" fillId="0" borderId="18" xfId="0" applyNumberFormat="1" applyFont="1" applyFill="1" applyBorder="1" applyAlignment="1">
      <alignment vertical="center"/>
    </xf>
    <xf numFmtId="4" fontId="19" fillId="0" borderId="10" xfId="0" applyNumberFormat="1" applyFont="1" applyFill="1" applyBorder="1" applyAlignment="1">
      <alignment vertical="center"/>
    </xf>
    <xf numFmtId="15" fontId="21"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21" fillId="0" borderId="10" xfId="0" applyFont="1" applyBorder="1" applyAlignment="1">
      <alignment vertical="center"/>
    </xf>
    <xf numFmtId="4" fontId="23" fillId="0" borderId="18" xfId="0" applyNumberFormat="1" applyFont="1" applyFill="1" applyBorder="1" applyAlignment="1">
      <alignment vertical="center"/>
    </xf>
    <xf numFmtId="15" fontId="22" fillId="0" borderId="10" xfId="0" applyNumberFormat="1" applyFont="1" applyFill="1" applyBorder="1" applyAlignment="1">
      <alignment horizontal="left" vertical="center" wrapText="1"/>
    </xf>
    <xf numFmtId="167" fontId="22" fillId="0" borderId="18" xfId="28" applyNumberFormat="1" applyFont="1" applyFill="1" applyBorder="1" applyAlignment="1">
      <alignment vertical="center"/>
    </xf>
    <xf numFmtId="167" fontId="21" fillId="0" borderId="18" xfId="28" applyNumberFormat="1" applyFont="1" applyFill="1" applyBorder="1" applyAlignment="1">
      <alignment vertical="center"/>
    </xf>
    <xf numFmtId="0" fontId="21" fillId="0" borderId="10" xfId="0" applyFont="1" applyFill="1" applyBorder="1" applyAlignment="1">
      <alignment vertical="center"/>
    </xf>
    <xf numFmtId="0" fontId="22" fillId="0" borderId="10" xfId="0" applyFont="1" applyBorder="1" applyAlignment="1">
      <alignment horizontal="center" vertical="center"/>
    </xf>
    <xf numFmtId="0" fontId="23" fillId="0" borderId="12" xfId="54" applyFont="1" applyFill="1" applyBorder="1" applyAlignment="1">
      <alignment horizontal="center" vertical="center" wrapText="1"/>
    </xf>
    <xf numFmtId="0" fontId="22" fillId="0" borderId="10" xfId="0" applyFont="1" applyBorder="1" applyAlignment="1">
      <alignment vertical="center"/>
    </xf>
    <xf numFmtId="15" fontId="21" fillId="0" borderId="10" xfId="0" applyNumberFormat="1" applyFont="1" applyFill="1" applyBorder="1" applyAlignment="1">
      <alignment horizontal="center" vertical="center" wrapText="1"/>
    </xf>
    <xf numFmtId="4" fontId="0" fillId="0" borderId="18" xfId="0" applyNumberFormat="1" applyFill="1" applyBorder="1" applyAlignment="1">
      <alignment vertical="center"/>
    </xf>
    <xf numFmtId="0" fontId="21" fillId="0" borderId="10" xfId="0" applyFont="1" applyFill="1" applyBorder="1" applyAlignment="1">
      <alignment horizontal="center" vertical="center"/>
    </xf>
    <xf numFmtId="166" fontId="21"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0" fontId="24" fillId="0" borderId="0" xfId="0" applyFont="1" applyFill="1" applyBorder="1" applyAlignment="1">
      <alignment vertical="center"/>
    </xf>
    <xf numFmtId="0" fontId="21" fillId="0" borderId="0" xfId="0" applyFont="1" applyFill="1" applyBorder="1" applyAlignment="1">
      <alignment vertical="center"/>
    </xf>
    <xf numFmtId="167" fontId="21" fillId="0" borderId="0" xfId="28" applyNumberFormat="1" applyFont="1" applyFill="1" applyBorder="1" applyAlignment="1">
      <alignment vertical="center"/>
    </xf>
    <xf numFmtId="10" fontId="21" fillId="0" borderId="0"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28" fillId="0" borderId="0" xfId="0" applyFont="1" applyFill="1" applyBorder="1" applyAlignment="1">
      <alignment vertical="center"/>
    </xf>
    <xf numFmtId="167" fontId="28" fillId="0" borderId="0" xfId="28" applyNumberFormat="1" applyFont="1" applyFill="1" applyBorder="1" applyAlignment="1">
      <alignment horizontal="center" vertical="center"/>
    </xf>
    <xf numFmtId="0" fontId="23" fillId="0" borderId="0" xfId="0" applyFont="1" applyFill="1" applyBorder="1" applyAlignment="1">
      <alignment vertical="center"/>
    </xf>
    <xf numFmtId="10" fontId="21" fillId="0" borderId="0" xfId="81" applyNumberFormat="1" applyFont="1" applyFill="1" applyBorder="1" applyAlignment="1" applyProtection="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3" fontId="25" fillId="0" borderId="0" xfId="0" applyNumberFormat="1" applyFont="1" applyFill="1" applyBorder="1" applyAlignment="1">
      <alignment vertical="center"/>
    </xf>
    <xf numFmtId="10"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10" xfId="54" applyNumberFormat="1" applyFill="1" applyBorder="1" applyAlignment="1">
      <alignment horizontal="center" vertical="center"/>
    </xf>
    <xf numFmtId="167" fontId="22" fillId="0" borderId="10" xfId="54" applyNumberFormat="1" applyBorder="1" applyAlignment="1">
      <alignment horizontal="center" vertical="center"/>
    </xf>
    <xf numFmtId="0" fontId="22" fillId="0" borderId="16" xfId="54" applyBorder="1" applyAlignment="1">
      <alignment horizontal="center" vertical="center"/>
    </xf>
    <xf numFmtId="0" fontId="21" fillId="0" borderId="16" xfId="0" applyFont="1" applyFill="1" applyBorder="1" applyAlignment="1">
      <alignment horizontal="center" vertical="center" wrapText="1"/>
    </xf>
    <xf numFmtId="0" fontId="22" fillId="0"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22" fillId="0" borderId="16" xfId="0" applyNumberFormat="1" applyFont="1" applyFill="1" applyBorder="1" applyAlignment="1">
      <alignment horizontal="center" vertical="center" wrapText="1"/>
    </xf>
    <xf numFmtId="0" fontId="22" fillId="0" borderId="16" xfId="0" applyNumberFormat="1" applyFont="1" applyBorder="1" applyAlignment="1">
      <alignment horizontal="center" vertical="center" wrapText="1"/>
    </xf>
    <xf numFmtId="15" fontId="21" fillId="0" borderId="16" xfId="0" applyNumberFormat="1"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0" borderId="21" xfId="0" applyNumberFormat="1" applyFont="1" applyFill="1" applyBorder="1" applyAlignment="1">
      <alignment horizontal="center" vertical="center"/>
    </xf>
    <xf numFmtId="0" fontId="0" fillId="0" borderId="21" xfId="0" applyNumberFormat="1" applyBorder="1" applyAlignment="1">
      <alignment horizontal="center" vertical="center"/>
    </xf>
    <xf numFmtId="167" fontId="22" fillId="0" borderId="21"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167" fontId="22" fillId="0" borderId="21" xfId="54" applyNumberFormat="1" applyBorder="1" applyAlignment="1">
      <alignment horizontal="center" vertical="center"/>
    </xf>
    <xf numFmtId="167" fontId="0" fillId="0" borderId="21" xfId="0" applyNumberFormat="1" applyBorder="1" applyAlignment="1">
      <alignment horizontal="center" vertical="center"/>
    </xf>
    <xf numFmtId="0" fontId="22" fillId="0" borderId="21" xfId="54" applyNumberFormat="1" applyBorder="1" applyAlignment="1">
      <alignment horizontal="center" vertical="center"/>
    </xf>
    <xf numFmtId="167" fontId="21" fillId="0" borderId="22" xfId="28" applyNumberFormat="1" applyFont="1" applyFill="1" applyBorder="1" applyAlignment="1">
      <alignment horizontal="center" vertical="center"/>
    </xf>
    <xf numFmtId="167" fontId="22" fillId="0" borderId="23" xfId="28" applyNumberFormat="1" applyFont="1" applyFill="1" applyBorder="1" applyAlignment="1">
      <alignment vertical="center"/>
    </xf>
    <xf numFmtId="15" fontId="22" fillId="0" borderId="18" xfId="0" applyNumberFormat="1" applyFont="1" applyFill="1" applyBorder="1" applyAlignment="1">
      <alignment vertical="center"/>
    </xf>
    <xf numFmtId="15" fontId="19" fillId="0" borderId="18" xfId="0" applyNumberFormat="1" applyFont="1" applyFill="1" applyBorder="1" applyAlignment="1">
      <alignment vertical="center"/>
    </xf>
    <xf numFmtId="15" fontId="19" fillId="0" borderId="18" xfId="55" applyNumberFormat="1" applyFont="1" applyFill="1" applyBorder="1" applyAlignment="1">
      <alignment vertical="center"/>
    </xf>
    <xf numFmtId="10" fontId="21" fillId="0" borderId="18" xfId="0" applyNumberFormat="1" applyFont="1" applyFill="1" applyBorder="1" applyAlignment="1">
      <alignment horizontal="center" vertical="center"/>
    </xf>
    <xf numFmtId="0" fontId="21" fillId="0" borderId="24" xfId="0" applyFont="1" applyFill="1" applyBorder="1" applyAlignment="1">
      <alignment horizontal="center" vertical="center" wrapText="1"/>
    </xf>
    <xf numFmtId="4" fontId="22" fillId="0" borderId="25" xfId="0" applyNumberFormat="1" applyFont="1" applyFill="1" applyBorder="1" applyAlignment="1">
      <alignment vertical="center"/>
    </xf>
    <xf numFmtId="3" fontId="21" fillId="0" borderId="25" xfId="0" applyNumberFormat="1" applyFont="1" applyFill="1" applyBorder="1" applyAlignment="1">
      <alignment vertical="center"/>
    </xf>
    <xf numFmtId="0" fontId="22" fillId="0" borderId="26"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22" fillId="0" borderId="26" xfId="0" applyNumberFormat="1" applyFont="1" applyFill="1" applyBorder="1" applyAlignment="1">
      <alignment horizontal="center" vertical="center" wrapText="1"/>
    </xf>
    <xf numFmtId="0" fontId="21" fillId="0" borderId="23" xfId="0" applyFont="1" applyFill="1" applyBorder="1" applyAlignment="1">
      <alignment horizontal="center" vertical="center" wrapText="1"/>
    </xf>
    <xf numFmtId="4" fontId="22" fillId="0" borderId="23" xfId="0" applyNumberFormat="1" applyFont="1" applyFill="1" applyBorder="1" applyAlignment="1">
      <alignment vertical="center"/>
    </xf>
    <xf numFmtId="4" fontId="21" fillId="0" borderId="23" xfId="0" applyNumberFormat="1" applyFont="1" applyBorder="1" applyAlignment="1">
      <alignment vertical="center"/>
    </xf>
    <xf numFmtId="167" fontId="22" fillId="0" borderId="23" xfId="28" applyNumberFormat="1" applyFont="1" applyBorder="1" applyAlignment="1">
      <alignment vertical="center"/>
    </xf>
    <xf numFmtId="167" fontId="21" fillId="0" borderId="23" xfId="28" applyNumberFormat="1" applyFont="1" applyFill="1" applyBorder="1" applyAlignment="1">
      <alignment vertical="center"/>
    </xf>
    <xf numFmtId="4" fontId="21" fillId="0" borderId="23" xfId="0" applyNumberFormat="1" applyFont="1" applyFill="1" applyBorder="1" applyAlignment="1">
      <alignment vertical="center"/>
    </xf>
    <xf numFmtId="4" fontId="19" fillId="0" borderId="23" xfId="0" applyNumberFormat="1" applyFont="1" applyBorder="1" applyAlignment="1">
      <alignment vertical="center"/>
    </xf>
    <xf numFmtId="167" fontId="21" fillId="0" borderId="23" xfId="28" applyNumberFormat="1" applyFont="1" applyBorder="1" applyAlignment="1">
      <alignment vertical="center"/>
    </xf>
    <xf numFmtId="0" fontId="21" fillId="0" borderId="27" xfId="0" applyFont="1" applyFill="1" applyBorder="1" applyAlignment="1">
      <alignment horizontal="center" vertical="center" wrapText="1"/>
    </xf>
    <xf numFmtId="4" fontId="22" fillId="0" borderId="28" xfId="0" applyNumberFormat="1" applyFont="1" applyFill="1" applyBorder="1" applyAlignment="1">
      <alignment vertical="center"/>
    </xf>
    <xf numFmtId="4" fontId="21" fillId="0" borderId="28" xfId="0" applyNumberFormat="1" applyFont="1" applyFill="1" applyBorder="1" applyAlignment="1">
      <alignment vertical="center"/>
    </xf>
    <xf numFmtId="167" fontId="22" fillId="0" borderId="28" xfId="28" applyNumberFormat="1" applyFont="1" applyFill="1" applyBorder="1" applyAlignment="1">
      <alignment vertical="center"/>
    </xf>
    <xf numFmtId="167" fontId="21" fillId="0" borderId="28" xfId="28" applyNumberFormat="1" applyFont="1" applyFill="1" applyBorder="1" applyAlignment="1">
      <alignment vertical="center"/>
    </xf>
    <xf numFmtId="167" fontId="22" fillId="0" borderId="28" xfId="28" applyNumberFormat="1" applyFont="1" applyBorder="1" applyAlignment="1">
      <alignment vertical="center"/>
    </xf>
    <xf numFmtId="4" fontId="23" fillId="0" borderId="28" xfId="0" applyNumberFormat="1" applyFont="1" applyFill="1" applyBorder="1" applyAlignment="1">
      <alignment vertical="center"/>
    </xf>
    <xf numFmtId="4" fontId="0" fillId="0" borderId="28" xfId="0" applyNumberFormat="1" applyFill="1" applyBorder="1" applyAlignment="1">
      <alignment vertical="center"/>
    </xf>
    <xf numFmtId="4" fontId="0" fillId="0" borderId="28" xfId="0" applyNumberFormat="1" applyBorder="1" applyAlignment="1">
      <alignment vertical="center"/>
    </xf>
    <xf numFmtId="0" fontId="22" fillId="0" borderId="16" xfId="54" applyNumberFormat="1" applyBorder="1" applyAlignment="1">
      <alignment horizontal="center" vertical="center" wrapText="1"/>
    </xf>
    <xf numFmtId="167" fontId="21" fillId="0" borderId="29" xfId="28" applyNumberFormat="1" applyFont="1" applyFill="1" applyBorder="1" applyAlignment="1">
      <alignment vertical="center"/>
    </xf>
    <xf numFmtId="167" fontId="29" fillId="0" borderId="0" xfId="0" applyNumberFormat="1" applyFont="1" applyFill="1" applyBorder="1" applyAlignment="1">
      <alignment vertical="center"/>
    </xf>
    <xf numFmtId="167" fontId="29" fillId="0" borderId="0" xfId="28" applyNumberFormat="1" applyFont="1" applyFill="1" applyBorder="1" applyAlignment="1">
      <alignment horizontal="center" vertical="center"/>
    </xf>
    <xf numFmtId="9" fontId="29" fillId="0" borderId="0" xfId="0" applyNumberFormat="1" applyFont="1" applyFill="1" applyBorder="1" applyAlignment="1">
      <alignment horizontal="center" vertical="center"/>
    </xf>
    <xf numFmtId="10" fontId="29" fillId="0" borderId="0" xfId="81" applyNumberFormat="1" applyFont="1" applyFill="1" applyBorder="1" applyAlignment="1">
      <alignment vertical="center"/>
    </xf>
    <xf numFmtId="0" fontId="19" fillId="0" borderId="0" xfId="54" applyFont="1" applyFill="1" applyBorder="1" applyAlignment="1">
      <alignment horizontal="center" vertical="center" wrapText="1"/>
    </xf>
    <xf numFmtId="0" fontId="22" fillId="0" borderId="18" xfId="0" applyNumberFormat="1" applyFont="1" applyFill="1" applyBorder="1" applyAlignment="1">
      <alignment horizontal="center" vertical="center"/>
    </xf>
    <xf numFmtId="0" fontId="21" fillId="0" borderId="10" xfId="0" applyFont="1" applyBorder="1" applyAlignment="1">
      <alignment horizontal="center" vertical="center"/>
    </xf>
    <xf numFmtId="167" fontId="22" fillId="0" borderId="16" xfId="54" applyNumberFormat="1" applyBorder="1" applyAlignment="1">
      <alignment horizontal="center" vertical="center"/>
    </xf>
    <xf numFmtId="167" fontId="22" fillId="0" borderId="16" xfId="0" applyNumberFormat="1" applyFont="1" applyFill="1" applyBorder="1" applyAlignment="1">
      <alignment horizontal="center" vertical="center" wrapText="1"/>
    </xf>
    <xf numFmtId="167" fontId="22" fillId="0" borderId="30" xfId="54" applyNumberFormat="1" applyBorder="1" applyAlignment="1">
      <alignment horizontal="center" vertical="center"/>
    </xf>
    <xf numFmtId="167" fontId="21" fillId="0" borderId="31" xfId="28" applyNumberFormat="1" applyFont="1" applyFill="1" applyBorder="1" applyAlignment="1">
      <alignment horizontal="center" vertical="center"/>
    </xf>
    <xf numFmtId="167" fontId="21" fillId="0" borderId="32" xfId="28" applyNumberFormat="1" applyFont="1" applyFill="1" applyBorder="1" applyAlignment="1">
      <alignment vertical="center"/>
    </xf>
    <xf numFmtId="4" fontId="22" fillId="0" borderId="32" xfId="0" applyNumberFormat="1" applyFont="1" applyFill="1" applyBorder="1" applyAlignment="1">
      <alignment vertical="center"/>
    </xf>
    <xf numFmtId="3" fontId="22" fillId="0" borderId="32" xfId="0" applyNumberFormat="1" applyFont="1" applyFill="1" applyBorder="1" applyAlignment="1">
      <alignment vertical="center"/>
    </xf>
    <xf numFmtId="167" fontId="22" fillId="0" borderId="32" xfId="28" applyNumberFormat="1" applyFont="1" applyFill="1" applyBorder="1" applyAlignment="1">
      <alignment vertical="center"/>
    </xf>
    <xf numFmtId="167" fontId="22" fillId="0" borderId="33" xfId="28" applyNumberFormat="1" applyFont="1" applyFill="1" applyBorder="1" applyAlignment="1">
      <alignment vertical="center"/>
    </xf>
    <xf numFmtId="167" fontId="21" fillId="0" borderId="34" xfId="28" applyNumberFormat="1" applyFont="1" applyFill="1" applyBorder="1" applyAlignment="1">
      <alignment vertical="center"/>
    </xf>
    <xf numFmtId="3" fontId="21" fillId="0" borderId="32" xfId="0" applyNumberFormat="1" applyFont="1" applyFill="1" applyBorder="1" applyAlignment="1">
      <alignment vertical="center"/>
    </xf>
    <xf numFmtId="3" fontId="0" fillId="0" borderId="32" xfId="0" applyNumberFormat="1" applyFill="1" applyBorder="1" applyAlignment="1">
      <alignment vertical="center"/>
    </xf>
    <xf numFmtId="167" fontId="21" fillId="0" borderId="35" xfId="28" applyNumberFormat="1" applyFont="1" applyFill="1" applyBorder="1" applyAlignment="1">
      <alignment vertical="center"/>
    </xf>
    <xf numFmtId="3" fontId="19" fillId="0" borderId="28" xfId="0" applyNumberFormat="1" applyFont="1" applyFill="1" applyBorder="1" applyAlignment="1">
      <alignment vertical="center"/>
    </xf>
    <xf numFmtId="3" fontId="21" fillId="0" borderId="23" xfId="0" applyNumberFormat="1" applyFont="1" applyFill="1" applyBorder="1" applyAlignment="1">
      <alignment vertical="center"/>
    </xf>
    <xf numFmtId="3" fontId="23" fillId="0" borderId="28" xfId="0" applyNumberFormat="1" applyFont="1" applyFill="1" applyBorder="1" applyAlignment="1">
      <alignment vertical="center"/>
    </xf>
    <xf numFmtId="3" fontId="23" fillId="0" borderId="18" xfId="0" applyNumberFormat="1" applyFont="1" applyFill="1" applyBorder="1" applyAlignment="1">
      <alignment vertical="center"/>
    </xf>
    <xf numFmtId="43" fontId="22" fillId="0" borderId="18" xfId="28" applyFont="1" applyFill="1" applyBorder="1" applyAlignment="1">
      <alignment vertical="center"/>
    </xf>
    <xf numFmtId="3" fontId="19" fillId="0" borderId="18" xfId="0" applyNumberFormat="1" applyFont="1" applyFill="1" applyBorder="1" applyAlignment="1">
      <alignment vertical="center"/>
    </xf>
    <xf numFmtId="0" fontId="22" fillId="24" borderId="10" xfId="0" applyFont="1" applyFill="1" applyBorder="1" applyAlignment="1">
      <alignment horizontal="center" vertical="center"/>
    </xf>
    <xf numFmtId="0" fontId="21" fillId="0" borderId="15" xfId="54" applyFont="1" applyBorder="1" applyAlignment="1">
      <alignment vertical="center"/>
    </xf>
    <xf numFmtId="15" fontId="19" fillId="24" borderId="18" xfId="0" applyNumberFormat="1" applyFont="1" applyFill="1" applyBorder="1" applyAlignment="1">
      <alignment vertical="center"/>
    </xf>
    <xf numFmtId="15" fontId="19" fillId="24" borderId="18" xfId="0" applyNumberFormat="1" applyFont="1" applyFill="1" applyBorder="1" applyAlignment="1">
      <alignment vertical="center"/>
    </xf>
    <xf numFmtId="15" fontId="22" fillId="24" borderId="18" xfId="0" applyNumberFormat="1" applyFont="1" applyFill="1" applyBorder="1" applyAlignment="1">
      <alignment vertical="center"/>
    </xf>
    <xf numFmtId="4" fontId="28" fillId="0" borderId="18" xfId="0" applyNumberFormat="1" applyFont="1" applyFill="1" applyBorder="1" applyAlignment="1">
      <alignment vertical="center"/>
    </xf>
    <xf numFmtId="4" fontId="29" fillId="0" borderId="18" xfId="0" applyNumberFormat="1" applyFont="1" applyFill="1" applyBorder="1" applyAlignment="1">
      <alignment vertical="center"/>
    </xf>
    <xf numFmtId="167" fontId="28" fillId="0" borderId="18" xfId="28" applyNumberFormat="1" applyFont="1" applyFill="1" applyBorder="1" applyAlignment="1">
      <alignment vertical="center"/>
    </xf>
    <xf numFmtId="167" fontId="29" fillId="0" borderId="18" xfId="28" applyNumberFormat="1" applyFont="1" applyFill="1" applyBorder="1" applyAlignment="1">
      <alignment vertical="center"/>
    </xf>
    <xf numFmtId="3" fontId="28" fillId="0" borderId="18" xfId="0" applyNumberFormat="1" applyFont="1" applyFill="1" applyBorder="1" applyAlignment="1">
      <alignment vertical="center"/>
    </xf>
    <xf numFmtId="3" fontId="29" fillId="0" borderId="18" xfId="0" applyNumberFormat="1" applyFont="1" applyFill="1" applyBorder="1" applyAlignment="1">
      <alignment vertical="center"/>
    </xf>
    <xf numFmtId="167" fontId="29" fillId="0" borderId="0" xfId="28" applyNumberFormat="1"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167" fontId="28" fillId="25" borderId="18" xfId="28" applyNumberFormat="1" applyFont="1" applyFill="1" applyBorder="1" applyAlignment="1">
      <alignment vertical="center"/>
    </xf>
    <xf numFmtId="0" fontId="19" fillId="0" borderId="36" xfId="54" applyFont="1" applyFill="1" applyBorder="1" applyAlignment="1">
      <alignment horizontal="left" vertical="center" wrapText="1"/>
    </xf>
    <xf numFmtId="0" fontId="28" fillId="0" borderId="18" xfId="0" applyFont="1" applyFill="1" applyBorder="1" applyAlignment="1">
      <alignment horizontal="center" vertical="center" wrapText="1"/>
    </xf>
    <xf numFmtId="165" fontId="31" fillId="0" borderId="11" xfId="0" applyNumberFormat="1" applyFont="1" applyBorder="1" applyAlignment="1">
      <alignment horizontal="center" vertical="center" wrapText="1"/>
    </xf>
    <xf numFmtId="168" fontId="31"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2" fillId="0" borderId="11" xfId="0" applyFont="1" applyFill="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33" fillId="0" borderId="11" xfId="54" applyFont="1" applyBorder="1" applyAlignment="1">
      <alignment horizontal="center" vertical="center"/>
    </xf>
    <xf numFmtId="0" fontId="33" fillId="0" borderId="11" xfId="54" applyFont="1" applyBorder="1" applyAlignment="1">
      <alignment vertical="center"/>
    </xf>
    <xf numFmtId="0" fontId="33" fillId="0" borderId="11" xfId="0" applyFont="1" applyFill="1" applyBorder="1" applyAlignment="1">
      <alignment horizontal="center" vertical="center"/>
    </xf>
    <xf numFmtId="0" fontId="33" fillId="0" borderId="11" xfId="0" applyFont="1" applyFill="1" applyBorder="1" applyAlignment="1">
      <alignment vertical="center" wrapText="1"/>
    </xf>
    <xf numFmtId="0" fontId="33" fillId="0" borderId="11" xfId="54" applyNumberFormat="1" applyFont="1" applyBorder="1" applyAlignment="1">
      <alignment horizontal="center" vertical="center"/>
    </xf>
    <xf numFmtId="167" fontId="33" fillId="0" borderId="11" xfId="54" applyNumberFormat="1" applyFont="1" applyBorder="1" applyAlignment="1">
      <alignment horizontal="center" vertical="center"/>
    </xf>
    <xf numFmtId="167" fontId="33" fillId="0" borderId="11" xfId="28" applyNumberFormat="1" applyFont="1" applyFill="1" applyBorder="1" applyAlignment="1">
      <alignment vertical="center"/>
    </xf>
    <xf numFmtId="3" fontId="33" fillId="0" borderId="11" xfId="54" applyNumberFormat="1" applyFont="1" applyBorder="1" applyAlignment="1">
      <alignment vertical="center"/>
    </xf>
    <xf numFmtId="167" fontId="33" fillId="26" borderId="11" xfId="28" applyNumberFormat="1" applyFont="1" applyFill="1" applyBorder="1" applyAlignment="1">
      <alignment vertical="center"/>
    </xf>
    <xf numFmtId="167" fontId="33" fillId="0" borderId="11" xfId="28" applyNumberFormat="1" applyFont="1" applyBorder="1" applyAlignment="1">
      <alignment vertical="center"/>
    </xf>
    <xf numFmtId="167" fontId="33" fillId="24" borderId="11" xfId="28" applyNumberFormat="1" applyFont="1" applyFill="1" applyBorder="1" applyAlignment="1">
      <alignment vertical="center"/>
    </xf>
    <xf numFmtId="0" fontId="33" fillId="0" borderId="37" xfId="0" applyFont="1" applyFill="1" applyBorder="1" applyAlignment="1">
      <alignment vertical="center" wrapText="1"/>
    </xf>
    <xf numFmtId="165" fontId="33" fillId="0" borderId="41" xfId="0" applyNumberFormat="1" applyFont="1" applyFill="1" applyBorder="1" applyAlignment="1">
      <alignment horizontal="right" vertical="center"/>
    </xf>
    <xf numFmtId="9" fontId="33" fillId="0" borderId="11" xfId="81" applyFont="1" applyFill="1" applyBorder="1" applyAlignment="1">
      <alignment vertical="center"/>
    </xf>
    <xf numFmtId="0" fontId="33" fillId="0" borderId="0" xfId="54" applyFont="1" applyBorder="1" applyAlignment="1">
      <alignment vertical="center"/>
    </xf>
    <xf numFmtId="6" fontId="33" fillId="0" borderId="11" xfId="0" applyNumberFormat="1" applyFont="1" applyFill="1" applyBorder="1" applyAlignment="1">
      <alignment vertical="center"/>
    </xf>
    <xf numFmtId="171" fontId="33" fillId="0" borderId="11" xfId="81" applyNumberFormat="1" applyFont="1" applyFill="1" applyBorder="1" applyAlignment="1">
      <alignment vertical="center"/>
    </xf>
    <xf numFmtId="0" fontId="33" fillId="0" borderId="11" xfId="0" applyFont="1" applyFill="1" applyBorder="1" applyAlignment="1">
      <alignment horizontal="center" vertical="center" wrapText="1"/>
    </xf>
    <xf numFmtId="164" fontId="33" fillId="0" borderId="37" xfId="81" applyNumberFormat="1" applyFont="1" applyFill="1" applyBorder="1" applyAlignment="1">
      <alignment vertical="center"/>
    </xf>
    <xf numFmtId="0" fontId="33" fillId="0" borderId="11" xfId="0" applyFont="1" applyFill="1" applyBorder="1" applyAlignment="1">
      <alignment vertical="center"/>
    </xf>
    <xf numFmtId="0" fontId="33" fillId="0" borderId="40" xfId="0" applyFont="1" applyFill="1" applyBorder="1" applyAlignment="1">
      <alignment vertical="center"/>
    </xf>
    <xf numFmtId="0" fontId="33" fillId="0" borderId="0" xfId="0" applyFont="1" applyFill="1" applyAlignment="1">
      <alignment vertical="center"/>
    </xf>
    <xf numFmtId="0" fontId="35" fillId="0" borderId="11" xfId="0" applyFont="1" applyBorder="1" applyAlignment="1">
      <alignment horizontal="center" vertical="center"/>
    </xf>
    <xf numFmtId="0" fontId="35" fillId="0" borderId="11" xfId="0" applyFont="1" applyBorder="1" applyAlignment="1">
      <alignment vertical="center" wrapText="1"/>
    </xf>
    <xf numFmtId="0" fontId="35" fillId="0" borderId="11" xfId="54" applyNumberFormat="1" applyFont="1" applyBorder="1" applyAlignment="1">
      <alignment horizontal="center" vertical="center"/>
    </xf>
    <xf numFmtId="0" fontId="36" fillId="0" borderId="11" xfId="54" applyNumberFormat="1" applyFont="1" applyBorder="1" applyAlignment="1">
      <alignment horizontal="center" vertical="center"/>
    </xf>
    <xf numFmtId="167" fontId="35" fillId="0" borderId="11" xfId="54" applyNumberFormat="1" applyFont="1" applyBorder="1" applyAlignment="1">
      <alignment horizontal="center" vertical="center"/>
    </xf>
    <xf numFmtId="167" fontId="35" fillId="25" borderId="11" xfId="28" applyNumberFormat="1" applyFont="1" applyFill="1" applyBorder="1" applyAlignment="1">
      <alignment vertical="center"/>
    </xf>
    <xf numFmtId="167" fontId="35" fillId="0" borderId="11" xfId="28" applyNumberFormat="1" applyFont="1" applyFill="1" applyBorder="1" applyAlignment="1">
      <alignment vertical="center"/>
    </xf>
    <xf numFmtId="3" fontId="35" fillId="0" borderId="11" xfId="54" applyNumberFormat="1" applyFont="1" applyBorder="1" applyAlignment="1">
      <alignment vertical="center"/>
    </xf>
    <xf numFmtId="167" fontId="35" fillId="27" borderId="11" xfId="28" applyNumberFormat="1" applyFont="1" applyFill="1" applyBorder="1" applyAlignment="1">
      <alignment vertical="center"/>
    </xf>
    <xf numFmtId="167" fontId="35" fillId="26" borderId="11" xfId="28" applyNumberFormat="1" applyFont="1" applyFill="1" applyBorder="1" applyAlignment="1">
      <alignment vertical="center"/>
    </xf>
    <xf numFmtId="167" fontId="35" fillId="0" borderId="11" xfId="28" applyNumberFormat="1" applyFont="1" applyBorder="1" applyAlignment="1">
      <alignment vertical="center"/>
    </xf>
    <xf numFmtId="167" fontId="35" fillId="24" borderId="11" xfId="28" applyNumberFormat="1" applyFont="1" applyFill="1" applyBorder="1" applyAlignment="1">
      <alignment vertical="center"/>
    </xf>
    <xf numFmtId="0" fontId="35" fillId="0" borderId="11" xfId="54" applyFont="1" applyBorder="1" applyAlignment="1">
      <alignment vertical="center"/>
    </xf>
    <xf numFmtId="0" fontId="35" fillId="0" borderId="37" xfId="54" applyFont="1" applyBorder="1" applyAlignment="1">
      <alignment vertical="center" wrapText="1"/>
    </xf>
    <xf numFmtId="165" fontId="35" fillId="0" borderId="41" xfId="54" applyNumberFormat="1" applyFont="1" applyBorder="1" applyAlignment="1">
      <alignment vertical="center"/>
    </xf>
    <xf numFmtId="0" fontId="35" fillId="0" borderId="0" xfId="54" applyFont="1" applyBorder="1" applyAlignment="1">
      <alignment vertical="center"/>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34" fillId="0" borderId="11" xfId="54" applyNumberFormat="1" applyFont="1" applyBorder="1" applyAlignment="1">
      <alignment horizontal="center" vertical="center"/>
    </xf>
    <xf numFmtId="0" fontId="33" fillId="0" borderId="37" xfId="54" applyFont="1" applyBorder="1" applyAlignment="1">
      <alignment vertical="center" wrapText="1"/>
    </xf>
    <xf numFmtId="165" fontId="33" fillId="0" borderId="41" xfId="54" applyNumberFormat="1" applyFont="1" applyBorder="1" applyAlignment="1">
      <alignment vertical="center"/>
    </xf>
    <xf numFmtId="0" fontId="33" fillId="0" borderId="11" xfId="54" applyNumberFormat="1" applyFont="1" applyFill="1" applyBorder="1" applyAlignment="1">
      <alignment horizontal="center" vertical="center"/>
    </xf>
    <xf numFmtId="0" fontId="34" fillId="0" borderId="11" xfId="54" applyNumberFormat="1" applyFont="1" applyFill="1" applyBorder="1" applyAlignment="1">
      <alignment horizontal="center" vertical="center"/>
    </xf>
    <xf numFmtId="0" fontId="33" fillId="0" borderId="37" xfId="54" applyFont="1" applyBorder="1" applyAlignment="1">
      <alignment horizontal="left" vertical="center" wrapText="1"/>
    </xf>
    <xf numFmtId="0" fontId="33" fillId="0" borderId="11" xfId="54" applyFont="1" applyBorder="1" applyAlignment="1">
      <alignment horizontal="left" vertical="center" wrapText="1"/>
    </xf>
    <xf numFmtId="43" fontId="35" fillId="0" borderId="11" xfId="28" applyNumberFormat="1" applyFont="1" applyFill="1" applyBorder="1" applyAlignment="1">
      <alignment vertical="center"/>
    </xf>
    <xf numFmtId="167" fontId="33" fillId="27" borderId="11" xfId="28" applyNumberFormat="1" applyFont="1" applyFill="1" applyBorder="1" applyAlignment="1">
      <alignment vertical="center"/>
    </xf>
    <xf numFmtId="0" fontId="33" fillId="0" borderId="11" xfId="54" applyFont="1" applyBorder="1" applyAlignment="1">
      <alignment vertical="center" wrapText="1"/>
    </xf>
    <xf numFmtId="0" fontId="33" fillId="0" borderId="0" xfId="54" applyFont="1" applyBorder="1" applyAlignment="1">
      <alignment horizontal="center" vertical="center"/>
    </xf>
    <xf numFmtId="0" fontId="37" fillId="0" borderId="0" xfId="54" quotePrefix="1" applyFont="1" applyFill="1" applyBorder="1" applyAlignment="1">
      <alignment vertical="center"/>
    </xf>
    <xf numFmtId="0" fontId="33" fillId="0" borderId="0" xfId="54" applyFont="1" applyFill="1" applyBorder="1" applyAlignment="1">
      <alignment vertical="center"/>
    </xf>
    <xf numFmtId="0" fontId="33" fillId="0" borderId="0" xfId="0" applyFont="1" applyFill="1" applyBorder="1" applyAlignment="1">
      <alignment vertical="center" wrapText="1"/>
    </xf>
    <xf numFmtId="0" fontId="33" fillId="0" borderId="0" xfId="54" applyFont="1" applyFill="1" applyBorder="1" applyAlignment="1">
      <alignment horizontal="center" vertical="center"/>
    </xf>
    <xf numFmtId="0" fontId="34" fillId="0" borderId="0" xfId="54" applyFont="1" applyFill="1" applyBorder="1" applyAlignment="1">
      <alignment horizontal="center" vertical="center"/>
    </xf>
    <xf numFmtId="0" fontId="33" fillId="0" borderId="0" xfId="54" applyFont="1" applyBorder="1" applyAlignment="1">
      <alignment vertical="center" wrapText="1"/>
    </xf>
    <xf numFmtId="165" fontId="33" fillId="0" borderId="0" xfId="54" applyNumberFormat="1" applyFont="1" applyBorder="1" applyAlignment="1">
      <alignment vertical="center"/>
    </xf>
    <xf numFmtId="0" fontId="33" fillId="0" borderId="0" xfId="54" applyFont="1" applyFill="1" applyBorder="1" applyAlignment="1">
      <alignment vertical="center" wrapText="1"/>
    </xf>
    <xf numFmtId="167" fontId="33" fillId="0" borderId="0" xfId="54" applyNumberFormat="1" applyFont="1" applyFill="1" applyBorder="1" applyAlignment="1">
      <alignment vertical="center"/>
    </xf>
    <xf numFmtId="0" fontId="34" fillId="0" borderId="0" xfId="54" applyFont="1" applyBorder="1" applyAlignment="1">
      <alignment horizontal="center" vertical="center"/>
    </xf>
    <xf numFmtId="3" fontId="33" fillId="0" borderId="0" xfId="54" applyNumberFormat="1" applyFont="1" applyBorder="1" applyAlignment="1">
      <alignment vertical="center"/>
    </xf>
    <xf numFmtId="4" fontId="33" fillId="0" borderId="0" xfId="54" applyNumberFormat="1" applyFont="1" applyBorder="1" applyAlignment="1">
      <alignment vertical="center"/>
    </xf>
    <xf numFmtId="0" fontId="32" fillId="0" borderId="11" xfId="54" applyFont="1" applyBorder="1" applyAlignment="1">
      <alignment horizontal="center" vertical="center" wrapText="1"/>
    </xf>
    <xf numFmtId="0" fontId="32" fillId="0" borderId="11" xfId="54" applyFont="1" applyFill="1" applyBorder="1" applyAlignment="1">
      <alignment horizontal="center" vertical="center" wrapText="1"/>
    </xf>
    <xf numFmtId="0" fontId="32" fillId="26" borderId="11" xfId="54" applyFont="1" applyFill="1" applyBorder="1" applyAlignment="1">
      <alignment horizontal="center" vertical="center" wrapText="1"/>
    </xf>
    <xf numFmtId="0" fontId="32" fillId="24" borderId="11" xfId="54" applyFont="1" applyFill="1" applyBorder="1" applyAlignment="1">
      <alignment horizontal="center" vertical="center" wrapText="1"/>
    </xf>
    <xf numFmtId="0" fontId="32" fillId="0" borderId="0" xfId="54" applyFont="1" applyBorder="1" applyAlignment="1">
      <alignment horizontal="center" vertical="center" wrapText="1"/>
    </xf>
    <xf numFmtId="0" fontId="35" fillId="0" borderId="11" xfId="54" applyFont="1" applyBorder="1" applyAlignment="1">
      <alignment horizontal="center" vertical="center"/>
    </xf>
    <xf numFmtId="15" fontId="33" fillId="0" borderId="11" xfId="54" applyNumberFormat="1" applyFont="1" applyBorder="1" applyAlignment="1">
      <alignment horizontal="center" vertical="center"/>
    </xf>
    <xf numFmtId="15" fontId="33" fillId="0" borderId="11" xfId="0" applyNumberFormat="1" applyFont="1" applyFill="1" applyBorder="1" applyAlignment="1">
      <alignment horizontal="center" vertical="center"/>
    </xf>
    <xf numFmtId="0" fontId="33" fillId="0" borderId="11" xfId="0" applyFont="1" applyFill="1" applyBorder="1" applyAlignment="1">
      <alignment horizontal="left" vertical="center" wrapText="1"/>
    </xf>
    <xf numFmtId="0" fontId="33" fillId="0" borderId="37" xfId="0" applyFont="1" applyFill="1" applyBorder="1" applyAlignment="1">
      <alignment horizontal="left" vertical="center" wrapText="1"/>
    </xf>
    <xf numFmtId="165" fontId="33" fillId="0" borderId="41" xfId="0" applyNumberFormat="1" applyFont="1" applyFill="1" applyBorder="1" applyAlignment="1">
      <alignment horizontal="right" vertical="center" wrapText="1"/>
    </xf>
    <xf numFmtId="172" fontId="33" fillId="0" borderId="11" xfId="0" applyNumberFormat="1" applyFont="1" applyFill="1" applyBorder="1" applyAlignment="1">
      <alignment horizontal="center" vertical="center"/>
    </xf>
    <xf numFmtId="172" fontId="35" fillId="0" borderId="11" xfId="54" applyNumberFormat="1" applyFont="1" applyBorder="1" applyAlignment="1">
      <alignment vertical="center"/>
    </xf>
    <xf numFmtId="172" fontId="33" fillId="0" borderId="11" xfId="54" applyNumberFormat="1" applyFont="1" applyBorder="1" applyAlignment="1">
      <alignment vertical="center"/>
    </xf>
    <xf numFmtId="172" fontId="34" fillId="0" borderId="11" xfId="54" applyNumberFormat="1" applyFont="1" applyBorder="1" applyAlignment="1">
      <alignment vertical="center"/>
    </xf>
    <xf numFmtId="169" fontId="33" fillId="0" borderId="11" xfId="0" applyNumberFormat="1" applyFont="1" applyFill="1" applyBorder="1" applyAlignment="1">
      <alignment horizontal="center" vertical="center"/>
    </xf>
    <xf numFmtId="169" fontId="33" fillId="0" borderId="11" xfId="0" applyNumberFormat="1" applyFont="1" applyFill="1" applyBorder="1" applyAlignment="1">
      <alignment horizontal="center" vertical="center" wrapText="1"/>
    </xf>
    <xf numFmtId="170" fontId="33" fillId="0" borderId="11" xfId="0" applyNumberFormat="1" applyFont="1" applyFill="1" applyBorder="1" applyAlignment="1">
      <alignment horizontal="center" vertical="center"/>
    </xf>
    <xf numFmtId="164" fontId="33" fillId="0" borderId="11" xfId="0" applyNumberFormat="1" applyFont="1" applyFill="1" applyBorder="1" applyAlignment="1">
      <alignment horizontal="center" vertical="center" wrapText="1"/>
    </xf>
    <xf numFmtId="170" fontId="33" fillId="0" borderId="11" xfId="0" applyNumberFormat="1" applyFont="1" applyFill="1" applyBorder="1" applyAlignment="1">
      <alignment horizontal="center" vertical="center" wrapText="1"/>
    </xf>
    <xf numFmtId="164" fontId="33" fillId="0" borderId="11" xfId="0" applyNumberFormat="1" applyFont="1" applyFill="1" applyBorder="1" applyAlignment="1">
      <alignment horizontal="center" vertical="center"/>
    </xf>
    <xf numFmtId="0" fontId="21" fillId="0" borderId="0" xfId="0" applyFont="1" applyFill="1" applyBorder="1" applyAlignment="1">
      <alignment horizontal="center" vertical="center"/>
    </xf>
    <xf numFmtId="15" fontId="21" fillId="0" borderId="0" xfId="0" applyNumberFormat="1" applyFont="1" applyFill="1" applyBorder="1" applyAlignment="1">
      <alignment horizontal="center" vertical="center"/>
    </xf>
    <xf numFmtId="167" fontId="21" fillId="0" borderId="38" xfId="28" applyNumberFormat="1" applyFont="1" applyFill="1" applyBorder="1" applyAlignment="1">
      <alignment horizontal="center" vertical="center"/>
    </xf>
    <xf numFmtId="167" fontId="21" fillId="0" borderId="39" xfId="28" applyNumberFormat="1" applyFont="1" applyFill="1" applyBorder="1" applyAlignment="1">
      <alignment horizontal="center" vertical="center"/>
    </xf>
    <xf numFmtId="0" fontId="38" fillId="0" borderId="0" xfId="0" applyFont="1" applyBorder="1" applyAlignment="1">
      <alignment horizontal="center" vertical="center" wrapText="1"/>
    </xf>
    <xf numFmtId="0" fontId="35" fillId="0" borderId="11" xfId="54" applyFont="1" applyBorder="1" applyAlignment="1">
      <alignment vertical="center" wrapText="1"/>
    </xf>
    <xf numFmtId="9" fontId="35" fillId="0" borderId="11" xfId="81" applyFont="1" applyFill="1" applyBorder="1" applyAlignment="1">
      <alignment vertical="center" wrapText="1"/>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2" xfId="30"/>
    <cellStyle name="Comma 3 2" xfId="31"/>
    <cellStyle name="Comma 4" xfId="32"/>
    <cellStyle name="Comma 4 10" xfId="33"/>
    <cellStyle name="Comma 4 11" xfId="34"/>
    <cellStyle name="Comma 4 12" xfId="35"/>
    <cellStyle name="Comma 4 2" xfId="36"/>
    <cellStyle name="Comma 4 3" xfId="37"/>
    <cellStyle name="Comma 4 4" xfId="38"/>
    <cellStyle name="Comma 4 5" xfId="39"/>
    <cellStyle name="Comma 4 6" xfId="40"/>
    <cellStyle name="Comma 4 7" xfId="41"/>
    <cellStyle name="Comma 4 8" xfId="42"/>
    <cellStyle name="Comma 4 9" xfId="43"/>
    <cellStyle name="Currency 2 3" xfId="44"/>
    <cellStyle name="Explanatory Text" xfId="45" builtinId="53" customBuiltin="1"/>
    <cellStyle name="Good" xfId="46" builtinId="26" customBuiltin="1"/>
    <cellStyle name="Heading 1" xfId="47" builtinId="16" customBuiltin="1"/>
    <cellStyle name="Heading 2" xfId="48" builtinId="17" customBuiltin="1"/>
    <cellStyle name="Heading 3" xfId="49" builtinId="18" customBuiltin="1"/>
    <cellStyle name="Heading 4" xfId="50" builtinId="19" customBuiltin="1"/>
    <cellStyle name="Input" xfId="51" builtinId="20" customBuiltin="1"/>
    <cellStyle name="Linked Cell" xfId="52" builtinId="24" customBuiltin="1"/>
    <cellStyle name="Neutral" xfId="53" builtinId="28" customBuiltin="1"/>
    <cellStyle name="Normal" xfId="0" builtinId="0"/>
    <cellStyle name="Normal 2" xfId="54"/>
    <cellStyle name="Normal 3" xfId="55"/>
    <cellStyle name="Note" xfId="56" builtinId="10" customBuiltin="1"/>
    <cellStyle name="Note 10" xfId="57"/>
    <cellStyle name="Note 10 2" xfId="58"/>
    <cellStyle name="Note 11" xfId="59"/>
    <cellStyle name="Note 11 2" xfId="60"/>
    <cellStyle name="Note 12" xfId="61"/>
    <cellStyle name="Note 12 2" xfId="62"/>
    <cellStyle name="Note 13" xfId="63"/>
    <cellStyle name="Note 2" xfId="64"/>
    <cellStyle name="Note 2 2" xfId="65"/>
    <cellStyle name="Note 3" xfId="66"/>
    <cellStyle name="Note 3 2" xfId="67"/>
    <cellStyle name="Note 4" xfId="68"/>
    <cellStyle name="Note 4 2" xfId="69"/>
    <cellStyle name="Note 5" xfId="70"/>
    <cellStyle name="Note 5 2" xfId="71"/>
    <cellStyle name="Note 6" xfId="72"/>
    <cellStyle name="Note 6 2" xfId="73"/>
    <cellStyle name="Note 7" xfId="74"/>
    <cellStyle name="Note 7 2" xfId="75"/>
    <cellStyle name="Note 8" xfId="76"/>
    <cellStyle name="Note 8 2" xfId="77"/>
    <cellStyle name="Note 9" xfId="78"/>
    <cellStyle name="Note 9 2" xfId="79"/>
    <cellStyle name="Output" xfId="80" builtinId="21" customBuiltin="1"/>
    <cellStyle name="Percent" xfId="81" builtinId="5"/>
    <cellStyle name="Percent 2" xfId="82"/>
    <cellStyle name="Title" xfId="83" builtinId="15" customBuiltin="1"/>
    <cellStyle name="Total" xfId="84" builtinId="25" customBuiltin="1"/>
    <cellStyle name="Warning Text" xfId="8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70" zoomScaleNormal="100" zoomScaleSheetLayoutView="70" workbookViewId="0">
      <pane xSplit="2" ySplit="5" topLeftCell="C27" activePane="bottomRight" state="frozen"/>
      <selection pane="topRight" activeCell="C1" sqref="C1"/>
      <selection pane="bottomLeft" activeCell="A6" sqref="A6"/>
      <selection pane="bottomRight" activeCell="J31" sqref="J31:J32"/>
    </sheetView>
  </sheetViews>
  <sheetFormatPr defaultColWidth="9.109375" defaultRowHeight="13.2" x14ac:dyDescent="0.25"/>
  <cols>
    <col min="1" max="1" width="7" style="75" customWidth="1"/>
    <col min="2" max="2" width="36.33203125" style="38" customWidth="1"/>
    <col min="3" max="3" width="6.6640625" style="75" customWidth="1"/>
    <col min="4" max="4" width="13.6640625" style="75" hidden="1" customWidth="1"/>
    <col min="5" max="5" width="12.44140625" style="75" hidden="1" customWidth="1"/>
    <col min="6" max="7" width="11.33203125" style="38" bestFit="1" customWidth="1"/>
    <col min="8" max="8" width="17.109375" style="38" customWidth="1"/>
    <col min="9" max="9" width="10.33203125" style="38" customWidth="1"/>
    <col min="10" max="10" width="11.44140625" style="1" bestFit="1" customWidth="1"/>
    <col min="11" max="11" width="9" style="68" customWidth="1"/>
    <col min="12" max="12" width="9.44140625" style="38" bestFit="1" customWidth="1"/>
    <col min="13" max="13" width="7.109375" style="2" customWidth="1"/>
    <col min="14" max="14" width="46.6640625" style="3" customWidth="1"/>
    <col min="15" max="15" width="33.33203125" style="38" customWidth="1"/>
    <col min="16" max="16384" width="9.109375" style="38"/>
  </cols>
  <sheetData>
    <row r="1" spans="1:14" ht="11.1" customHeight="1" x14ac:dyDescent="0.25">
      <c r="A1" s="264" t="s">
        <v>120</v>
      </c>
      <c r="B1" s="264"/>
      <c r="C1" s="264"/>
      <c r="D1" s="264"/>
      <c r="E1" s="264"/>
      <c r="F1" s="264"/>
      <c r="G1" s="264"/>
      <c r="H1" s="264"/>
      <c r="I1" s="264"/>
      <c r="J1" s="264"/>
      <c r="K1" s="264"/>
      <c r="L1" s="264"/>
      <c r="M1" s="264"/>
      <c r="N1" s="264"/>
    </row>
    <row r="2" spans="1:14" x14ac:dyDescent="0.25">
      <c r="A2" s="264" t="s">
        <v>87</v>
      </c>
      <c r="B2" s="264"/>
      <c r="C2" s="264"/>
      <c r="D2" s="264"/>
      <c r="E2" s="264"/>
      <c r="F2" s="264"/>
      <c r="G2" s="264"/>
      <c r="H2" s="264"/>
      <c r="I2" s="264"/>
      <c r="J2" s="264"/>
      <c r="K2" s="264"/>
      <c r="L2" s="264"/>
      <c r="M2" s="264"/>
      <c r="N2" s="264"/>
    </row>
    <row r="3" spans="1:14" x14ac:dyDescent="0.25">
      <c r="A3" s="265">
        <v>40840</v>
      </c>
      <c r="B3" s="265"/>
      <c r="C3" s="265"/>
      <c r="D3" s="265"/>
      <c r="E3" s="265"/>
      <c r="F3" s="265"/>
      <c r="G3" s="265"/>
      <c r="H3" s="265"/>
      <c r="I3" s="265"/>
      <c r="J3" s="265"/>
      <c r="K3" s="265"/>
      <c r="L3" s="265"/>
      <c r="M3" s="265"/>
      <c r="N3" s="265"/>
    </row>
    <row r="4" spans="1:14" ht="25.5" customHeight="1" thickBot="1" x14ac:dyDescent="0.3">
      <c r="A4" s="37"/>
      <c r="B4" s="4"/>
      <c r="C4" s="2"/>
      <c r="D4" s="2"/>
      <c r="E4" s="2"/>
      <c r="F4" s="4"/>
      <c r="G4" s="4"/>
      <c r="H4" s="4"/>
      <c r="I4" s="4"/>
      <c r="L4" s="4"/>
    </row>
    <row r="5" spans="1:14" s="43" customFormat="1" ht="39.75" customHeight="1" x14ac:dyDescent="0.25">
      <c r="A5" s="40" t="s">
        <v>0</v>
      </c>
      <c r="B5" s="40" t="s">
        <v>1</v>
      </c>
      <c r="C5" s="85" t="s">
        <v>23</v>
      </c>
      <c r="D5" s="91" t="s">
        <v>84</v>
      </c>
      <c r="E5" s="92" t="s">
        <v>85</v>
      </c>
      <c r="F5" s="106" t="s">
        <v>24</v>
      </c>
      <c r="G5" s="112" t="s">
        <v>74</v>
      </c>
      <c r="H5" s="120" t="s">
        <v>90</v>
      </c>
      <c r="I5" s="41" t="s">
        <v>91</v>
      </c>
      <c r="J5" s="42" t="s">
        <v>2</v>
      </c>
      <c r="K5" s="173" t="s">
        <v>125</v>
      </c>
      <c r="L5" s="41" t="s">
        <v>3</v>
      </c>
      <c r="M5" s="40" t="s">
        <v>4</v>
      </c>
      <c r="N5" s="40" t="s">
        <v>5</v>
      </c>
    </row>
    <row r="6" spans="1:14" ht="15.9" customHeight="1" x14ac:dyDescent="0.25">
      <c r="A6" s="29"/>
      <c r="B6" s="15"/>
      <c r="C6" s="86"/>
      <c r="D6" s="93"/>
      <c r="E6" s="109"/>
      <c r="F6" s="107"/>
      <c r="G6" s="113"/>
      <c r="H6" s="121"/>
      <c r="I6" s="44"/>
      <c r="J6" s="45"/>
      <c r="K6" s="162"/>
      <c r="L6" s="102"/>
      <c r="M6" s="46"/>
      <c r="N6" s="35"/>
    </row>
    <row r="7" spans="1:14" ht="15.9" customHeight="1" x14ac:dyDescent="0.25">
      <c r="A7" s="137">
        <v>1</v>
      </c>
      <c r="B7" s="9" t="s">
        <v>28</v>
      </c>
      <c r="C7" s="87"/>
      <c r="D7" s="94"/>
      <c r="E7" s="110"/>
      <c r="F7" s="108"/>
      <c r="G7" s="114"/>
      <c r="H7" s="122"/>
      <c r="I7" s="49"/>
      <c r="J7" s="49"/>
      <c r="K7" s="163"/>
      <c r="L7" s="102"/>
      <c r="M7" s="46"/>
      <c r="N7" s="50"/>
    </row>
    <row r="8" spans="1:14" ht="28.5" customHeight="1" x14ac:dyDescent="0.25">
      <c r="A8" s="22" t="s">
        <v>62</v>
      </c>
      <c r="B8" s="10" t="s">
        <v>146</v>
      </c>
      <c r="C8" s="24">
        <v>2011</v>
      </c>
      <c r="D8" s="95"/>
      <c r="E8" s="111"/>
      <c r="F8" s="25">
        <f>1000000-73641</f>
        <v>926359</v>
      </c>
      <c r="G8" s="115">
        <f>F8-H8</f>
        <v>390674.72</v>
      </c>
      <c r="H8" s="123">
        <v>535684.28</v>
      </c>
      <c r="I8" s="51">
        <f>+H8-J8</f>
        <v>535684.28</v>
      </c>
      <c r="J8" s="51">
        <v>0</v>
      </c>
      <c r="K8" s="164"/>
      <c r="L8" s="103">
        <v>40779</v>
      </c>
      <c r="M8" s="46" t="s">
        <v>33</v>
      </c>
      <c r="N8" s="35" t="s">
        <v>122</v>
      </c>
    </row>
    <row r="9" spans="1:14" ht="27.75" customHeight="1" x14ac:dyDescent="0.25">
      <c r="A9" s="22" t="s">
        <v>75</v>
      </c>
      <c r="B9" s="32" t="s">
        <v>82</v>
      </c>
      <c r="C9" s="24">
        <v>2011</v>
      </c>
      <c r="D9" s="83">
        <f>F9</f>
        <v>320735</v>
      </c>
      <c r="E9" s="24"/>
      <c r="F9" s="26">
        <f>500000-179265</f>
        <v>320735</v>
      </c>
      <c r="G9" s="115">
        <f>F9-H9</f>
        <v>288984.92</v>
      </c>
      <c r="H9" s="123">
        <v>31750.080000000002</v>
      </c>
      <c r="I9" s="51">
        <f>+H9-J9</f>
        <v>0</v>
      </c>
      <c r="J9" s="51">
        <v>31750.080000000002</v>
      </c>
      <c r="K9" s="164"/>
      <c r="L9" s="103"/>
      <c r="M9" s="46" t="s">
        <v>33</v>
      </c>
      <c r="N9" s="35" t="s">
        <v>123</v>
      </c>
    </row>
    <row r="10" spans="1:14" ht="18" customHeight="1" x14ac:dyDescent="0.25">
      <c r="A10" s="29"/>
      <c r="B10" s="15"/>
      <c r="C10" s="86"/>
      <c r="D10" s="93"/>
      <c r="E10" s="86"/>
      <c r="F10" s="142">
        <f>SUM(F8:F9)</f>
        <v>1247094</v>
      </c>
      <c r="G10" s="116">
        <f>SUM(G8:G9)</f>
        <v>679659.6399999999</v>
      </c>
      <c r="H10" s="124">
        <f>SUM(H8:H9)</f>
        <v>567434.36</v>
      </c>
      <c r="I10" s="52">
        <f>SUM(I8:I9)</f>
        <v>535684.28</v>
      </c>
      <c r="J10" s="27">
        <f>SUM(J8:J9)</f>
        <v>31750.080000000002</v>
      </c>
      <c r="K10" s="165"/>
      <c r="L10" s="102"/>
      <c r="M10" s="46"/>
      <c r="N10" s="35"/>
    </row>
    <row r="11" spans="1:14" ht="15.9" customHeight="1" x14ac:dyDescent="0.25">
      <c r="A11" s="29"/>
      <c r="B11" s="15"/>
      <c r="C11" s="86"/>
      <c r="D11" s="93"/>
      <c r="E11" s="86"/>
      <c r="F11" s="143"/>
      <c r="G11" s="113"/>
      <c r="H11" s="121"/>
      <c r="I11" s="44"/>
      <c r="J11" s="45"/>
      <c r="K11" s="162"/>
      <c r="L11" s="102"/>
      <c r="M11" s="46"/>
      <c r="N11" s="35"/>
    </row>
    <row r="12" spans="1:14" ht="21.6" customHeight="1" x14ac:dyDescent="0.25">
      <c r="A12" s="59">
        <v>2</v>
      </c>
      <c r="B12" s="53" t="s">
        <v>6</v>
      </c>
      <c r="C12" s="86"/>
      <c r="D12" s="93"/>
      <c r="E12" s="86"/>
      <c r="F12" s="144"/>
      <c r="G12" s="113"/>
      <c r="H12" s="121"/>
      <c r="I12" s="44"/>
      <c r="J12" s="45"/>
      <c r="K12" s="162"/>
      <c r="L12" s="102"/>
      <c r="M12" s="46"/>
      <c r="N12" s="35"/>
    </row>
    <row r="13" spans="1:14" ht="28.5" customHeight="1" x14ac:dyDescent="0.25">
      <c r="A13" s="29" t="s">
        <v>80</v>
      </c>
      <c r="B13" s="35" t="s">
        <v>131</v>
      </c>
      <c r="C13" s="88">
        <v>2010</v>
      </c>
      <c r="D13" s="96"/>
      <c r="E13" s="139">
        <f>H13</f>
        <v>36555</v>
      </c>
      <c r="F13" s="144">
        <f>2445352+138909-17059</f>
        <v>2567202</v>
      </c>
      <c r="G13" s="115">
        <f>F13-H13</f>
        <v>2530647</v>
      </c>
      <c r="H13" s="123">
        <v>36555</v>
      </c>
      <c r="I13" s="51">
        <f t="shared" ref="I13:I22" si="0">+H13-J13</f>
        <v>36555</v>
      </c>
      <c r="J13" s="26">
        <v>0</v>
      </c>
      <c r="K13" s="164"/>
      <c r="L13" s="103">
        <v>40772</v>
      </c>
      <c r="M13" s="46" t="s">
        <v>31</v>
      </c>
      <c r="N13" s="35" t="s">
        <v>121</v>
      </c>
    </row>
    <row r="14" spans="1:14" ht="66" x14ac:dyDescent="0.25">
      <c r="A14" s="20" t="s">
        <v>12</v>
      </c>
      <c r="B14" s="12" t="s">
        <v>40</v>
      </c>
      <c r="C14" s="24">
        <v>2011</v>
      </c>
      <c r="D14" s="24"/>
      <c r="E14" s="138">
        <f>F14</f>
        <v>3497733</v>
      </c>
      <c r="F14" s="26">
        <f>4100000-9630-145000-447637</f>
        <v>3497733</v>
      </c>
      <c r="G14" s="115">
        <f>F14-H14</f>
        <v>3539.7099999999627</v>
      </c>
      <c r="H14" s="123">
        <v>3494193.29</v>
      </c>
      <c r="I14" s="51">
        <f t="shared" si="0"/>
        <v>1747096.8</v>
      </c>
      <c r="J14" s="26">
        <v>1747096.49</v>
      </c>
      <c r="K14" s="164"/>
      <c r="L14" s="159">
        <v>40836</v>
      </c>
      <c r="M14" s="46" t="s">
        <v>29</v>
      </c>
      <c r="N14" s="35" t="s">
        <v>132</v>
      </c>
    </row>
    <row r="15" spans="1:14" ht="40.5" customHeight="1" x14ac:dyDescent="0.25">
      <c r="A15" s="20" t="s">
        <v>13</v>
      </c>
      <c r="B15" s="11" t="s">
        <v>39</v>
      </c>
      <c r="C15" s="24">
        <v>2011</v>
      </c>
      <c r="D15" s="24"/>
      <c r="E15" s="138">
        <f>F15</f>
        <v>1285759</v>
      </c>
      <c r="F15" s="26">
        <f>1031200+9630+244929</f>
        <v>1285759</v>
      </c>
      <c r="G15" s="115">
        <f>F15-H15</f>
        <v>665078.59</v>
      </c>
      <c r="H15" s="125">
        <v>620680.41</v>
      </c>
      <c r="I15" s="51">
        <f t="shared" si="0"/>
        <v>620680.41</v>
      </c>
      <c r="J15" s="51">
        <v>0</v>
      </c>
      <c r="K15" s="164"/>
      <c r="L15" s="159">
        <v>40836</v>
      </c>
      <c r="M15" s="46" t="s">
        <v>29</v>
      </c>
      <c r="N15" s="35" t="s">
        <v>121</v>
      </c>
    </row>
    <row r="16" spans="1:14" ht="23.25" customHeight="1" x14ac:dyDescent="0.25">
      <c r="A16" s="20" t="s">
        <v>63</v>
      </c>
      <c r="B16" s="11" t="s">
        <v>34</v>
      </c>
      <c r="C16" s="24">
        <v>2011</v>
      </c>
      <c r="D16" s="83"/>
      <c r="E16" s="138">
        <f>F16</f>
        <v>307218</v>
      </c>
      <c r="F16" s="26">
        <f>380000-72782</f>
        <v>307218</v>
      </c>
      <c r="G16" s="115">
        <f t="shared" ref="G16:G22" si="1">F16-H16</f>
        <v>207217.6</v>
      </c>
      <c r="H16" s="123">
        <v>100000.4</v>
      </c>
      <c r="I16" s="51">
        <f t="shared" si="0"/>
        <v>100000.4</v>
      </c>
      <c r="J16" s="51">
        <v>0</v>
      </c>
      <c r="K16" s="164"/>
      <c r="L16" s="103">
        <v>40770</v>
      </c>
      <c r="M16" s="46" t="s">
        <v>29</v>
      </c>
      <c r="N16" s="35" t="s">
        <v>121</v>
      </c>
    </row>
    <row r="17" spans="1:15" ht="21" customHeight="1" x14ac:dyDescent="0.25">
      <c r="A17" s="20" t="s">
        <v>64</v>
      </c>
      <c r="B17" s="11" t="s">
        <v>35</v>
      </c>
      <c r="C17" s="24">
        <v>2011</v>
      </c>
      <c r="D17" s="83">
        <f>F17</f>
        <v>119780</v>
      </c>
      <c r="E17" s="31"/>
      <c r="F17" s="26">
        <f>75000+76000-31220</f>
        <v>119780</v>
      </c>
      <c r="G17" s="115">
        <f t="shared" si="1"/>
        <v>107279.27</v>
      </c>
      <c r="H17" s="123">
        <v>12500.73</v>
      </c>
      <c r="I17" s="51">
        <f>+H17-J17</f>
        <v>12500.73</v>
      </c>
      <c r="J17" s="51">
        <v>0</v>
      </c>
      <c r="K17" s="164"/>
      <c r="L17" s="103">
        <v>40753</v>
      </c>
      <c r="M17" s="46" t="s">
        <v>29</v>
      </c>
      <c r="N17" s="35" t="s">
        <v>121</v>
      </c>
    </row>
    <row r="18" spans="1:15" ht="22.5" customHeight="1" x14ac:dyDescent="0.25">
      <c r="A18" s="20" t="s">
        <v>65</v>
      </c>
      <c r="B18" s="11" t="s">
        <v>81</v>
      </c>
      <c r="C18" s="24">
        <v>2011</v>
      </c>
      <c r="D18" s="83"/>
      <c r="E18" s="138">
        <f>F18</f>
        <v>614218</v>
      </c>
      <c r="F18" s="26">
        <f>760000-76000-69782</f>
        <v>614218</v>
      </c>
      <c r="G18" s="115">
        <f t="shared" si="1"/>
        <v>403649.17000000004</v>
      </c>
      <c r="H18" s="125">
        <v>210568.83</v>
      </c>
      <c r="I18" s="51">
        <f t="shared" si="0"/>
        <v>156226.31999999998</v>
      </c>
      <c r="J18" s="51">
        <v>54342.51</v>
      </c>
      <c r="K18" s="164"/>
      <c r="L18" s="159">
        <v>40814</v>
      </c>
      <c r="M18" s="46" t="s">
        <v>29</v>
      </c>
      <c r="N18" s="35" t="s">
        <v>121</v>
      </c>
    </row>
    <row r="19" spans="1:15" ht="78.75" customHeight="1" x14ac:dyDescent="0.25">
      <c r="A19" s="20" t="s">
        <v>66</v>
      </c>
      <c r="B19" s="11" t="s">
        <v>36</v>
      </c>
      <c r="C19" s="24">
        <v>2011</v>
      </c>
      <c r="D19" s="83">
        <f>F19</f>
        <v>500000</v>
      </c>
      <c r="E19" s="31"/>
      <c r="F19" s="26">
        <v>500000</v>
      </c>
      <c r="G19" s="115">
        <f t="shared" si="1"/>
        <v>2217.5999999999767</v>
      </c>
      <c r="H19" s="125">
        <v>497782.4</v>
      </c>
      <c r="I19" s="51">
        <f t="shared" si="0"/>
        <v>1630.8600000000442</v>
      </c>
      <c r="J19" s="51">
        <v>496151.54</v>
      </c>
      <c r="K19" s="164"/>
      <c r="L19" s="159">
        <v>40812</v>
      </c>
      <c r="M19" s="46" t="s">
        <v>29</v>
      </c>
      <c r="N19" s="35" t="s">
        <v>133</v>
      </c>
    </row>
    <row r="20" spans="1:15" ht="52.8" x14ac:dyDescent="0.25">
      <c r="A20" s="20" t="s">
        <v>67</v>
      </c>
      <c r="B20" s="11" t="s">
        <v>37</v>
      </c>
      <c r="C20" s="24">
        <v>2011</v>
      </c>
      <c r="D20" s="83"/>
      <c r="E20" s="138">
        <f>F20</f>
        <v>900000</v>
      </c>
      <c r="F20" s="26">
        <f>1000000-100000</f>
        <v>900000</v>
      </c>
      <c r="G20" s="115">
        <f t="shared" si="1"/>
        <v>355332.26</v>
      </c>
      <c r="H20" s="125">
        <v>544667.74</v>
      </c>
      <c r="I20" s="51">
        <f t="shared" si="0"/>
        <v>409514.01</v>
      </c>
      <c r="J20" s="51">
        <v>135153.73000000001</v>
      </c>
      <c r="K20" s="164"/>
      <c r="L20" s="103">
        <v>40784</v>
      </c>
      <c r="M20" s="46" t="s">
        <v>29</v>
      </c>
      <c r="N20" s="35" t="s">
        <v>134</v>
      </c>
    </row>
    <row r="21" spans="1:15" ht="158.4" x14ac:dyDescent="0.25">
      <c r="A21" s="20" t="s">
        <v>68</v>
      </c>
      <c r="B21" s="11" t="s">
        <v>38</v>
      </c>
      <c r="C21" s="24">
        <v>2011</v>
      </c>
      <c r="D21" s="83">
        <f>F21</f>
        <v>624987</v>
      </c>
      <c r="E21" s="31"/>
      <c r="F21" s="26">
        <f>440000+184987</f>
        <v>624987</v>
      </c>
      <c r="G21" s="115">
        <f t="shared" si="1"/>
        <v>5757.3100000000559</v>
      </c>
      <c r="H21" s="125">
        <v>619229.68999999994</v>
      </c>
      <c r="I21" s="51">
        <f t="shared" si="0"/>
        <v>309615.38999999996</v>
      </c>
      <c r="J21" s="51">
        <v>309614.3</v>
      </c>
      <c r="K21" s="164"/>
      <c r="L21" s="159">
        <v>40806</v>
      </c>
      <c r="M21" s="46" t="s">
        <v>29</v>
      </c>
      <c r="N21" s="35" t="s">
        <v>135</v>
      </c>
    </row>
    <row r="22" spans="1:15" ht="79.2" x14ac:dyDescent="0.25">
      <c r="A22" s="20" t="s">
        <v>69</v>
      </c>
      <c r="B22" s="11" t="s">
        <v>86</v>
      </c>
      <c r="C22" s="31">
        <v>2011</v>
      </c>
      <c r="D22" s="24"/>
      <c r="E22" s="140">
        <f>F22</f>
        <v>242600</v>
      </c>
      <c r="F22" s="146">
        <f>166500+67400+8700</f>
        <v>242600</v>
      </c>
      <c r="G22" s="115">
        <f t="shared" si="1"/>
        <v>62679.72</v>
      </c>
      <c r="H22" s="125">
        <v>179920.28</v>
      </c>
      <c r="I22" s="51">
        <f t="shared" si="0"/>
        <v>0</v>
      </c>
      <c r="J22" s="51">
        <v>179920.28</v>
      </c>
      <c r="K22" s="164"/>
      <c r="L22" s="34"/>
      <c r="M22" s="46" t="s">
        <v>29</v>
      </c>
      <c r="N22" s="35" t="s">
        <v>136</v>
      </c>
    </row>
    <row r="23" spans="1:15" ht="24" customHeight="1" x14ac:dyDescent="0.25">
      <c r="A23" s="29"/>
      <c r="B23" s="15"/>
      <c r="C23" s="86"/>
      <c r="D23" s="93"/>
      <c r="E23" s="86"/>
      <c r="F23" s="147">
        <f>SUM(F13:F22)</f>
        <v>10659497</v>
      </c>
      <c r="G23" s="116">
        <f>SUM(G13:G22)</f>
        <v>4343398.2299999995</v>
      </c>
      <c r="H23" s="124">
        <f>SUM(H13:H22)</f>
        <v>6316098.7700000023</v>
      </c>
      <c r="I23" s="52">
        <f>SUM(I13:I22)</f>
        <v>3393819.9199999995</v>
      </c>
      <c r="J23" s="27">
        <f>SUM(J13:J22)</f>
        <v>2922278.8499999996</v>
      </c>
      <c r="K23" s="165"/>
      <c r="L23" s="102"/>
      <c r="M23" s="46"/>
      <c r="N23" s="35"/>
    </row>
    <row r="24" spans="1:15" ht="24" customHeight="1" x14ac:dyDescent="0.25">
      <c r="A24" s="29"/>
      <c r="B24" s="15"/>
      <c r="C24" s="86"/>
      <c r="D24" s="136"/>
      <c r="E24" s="86"/>
      <c r="F24" s="142"/>
      <c r="G24" s="116"/>
      <c r="H24" s="124"/>
      <c r="I24" s="52"/>
      <c r="J24" s="27"/>
      <c r="K24" s="165"/>
      <c r="L24" s="102"/>
      <c r="M24" s="46"/>
      <c r="N24" s="35"/>
    </row>
    <row r="25" spans="1:15" ht="24" customHeight="1" x14ac:dyDescent="0.25">
      <c r="A25" s="7">
        <v>3</v>
      </c>
      <c r="B25" s="9" t="s">
        <v>42</v>
      </c>
      <c r="C25" s="17"/>
      <c r="D25" s="17"/>
      <c r="E25" s="84"/>
      <c r="F25" s="28"/>
      <c r="G25" s="116"/>
      <c r="H25" s="124"/>
      <c r="I25" s="52"/>
      <c r="J25" s="27"/>
      <c r="K25" s="165"/>
      <c r="L25" s="102"/>
      <c r="M25" s="46"/>
      <c r="N25" s="35"/>
    </row>
    <row r="26" spans="1:15" ht="52.8" x14ac:dyDescent="0.25">
      <c r="A26" s="20" t="s">
        <v>57</v>
      </c>
      <c r="B26" s="13" t="s">
        <v>41</v>
      </c>
      <c r="C26" s="24">
        <v>2011</v>
      </c>
      <c r="D26" s="83">
        <f>F26</f>
        <v>100000</v>
      </c>
      <c r="E26" s="31"/>
      <c r="F26" s="26">
        <v>100000</v>
      </c>
      <c r="G26" s="115">
        <f>F26-H26</f>
        <v>0</v>
      </c>
      <c r="H26" s="123">
        <v>100000</v>
      </c>
      <c r="I26" s="51">
        <f>+H26-J26</f>
        <v>96875</v>
      </c>
      <c r="J26" s="26">
        <v>3125</v>
      </c>
      <c r="K26" s="171"/>
      <c r="L26" s="102">
        <v>40794</v>
      </c>
      <c r="M26" s="46" t="s">
        <v>22</v>
      </c>
      <c r="N26" s="35" t="s">
        <v>137</v>
      </c>
    </row>
    <row r="27" spans="1:15" ht="24" customHeight="1" x14ac:dyDescent="0.25">
      <c r="A27" s="6"/>
      <c r="B27" s="5"/>
      <c r="C27" s="17"/>
      <c r="D27" s="17"/>
      <c r="E27" s="84"/>
      <c r="F27" s="27">
        <f>SUM(F26)</f>
        <v>100000</v>
      </c>
      <c r="G27" s="116">
        <f>SUM(G26)</f>
        <v>0</v>
      </c>
      <c r="H27" s="124">
        <f>SUM(H26)</f>
        <v>100000</v>
      </c>
      <c r="I27" s="52">
        <f>SUM(I26)</f>
        <v>96875</v>
      </c>
      <c r="J27" s="27">
        <f>SUM(J26)</f>
        <v>3125</v>
      </c>
      <c r="K27" s="165"/>
      <c r="L27" s="102"/>
      <c r="M27" s="46"/>
      <c r="N27" s="35"/>
    </row>
    <row r="28" spans="1:15" ht="17.100000000000001" customHeight="1" x14ac:dyDescent="0.25">
      <c r="A28" s="29"/>
      <c r="B28" s="15"/>
      <c r="C28" s="86"/>
      <c r="D28" s="93"/>
      <c r="E28" s="86"/>
      <c r="F28" s="144"/>
      <c r="G28" s="113"/>
      <c r="H28" s="121"/>
      <c r="I28" s="44"/>
      <c r="J28" s="45"/>
      <c r="K28" s="162"/>
      <c r="L28" s="102"/>
      <c r="M28" s="46"/>
      <c r="N28" s="35"/>
    </row>
    <row r="29" spans="1:15" ht="20.100000000000001" customHeight="1" x14ac:dyDescent="0.25">
      <c r="A29" s="59">
        <v>4</v>
      </c>
      <c r="B29" s="9" t="s">
        <v>43</v>
      </c>
      <c r="C29" s="86"/>
      <c r="D29" s="93"/>
      <c r="E29" s="86"/>
      <c r="F29" s="144"/>
      <c r="G29" s="113"/>
      <c r="H29" s="121"/>
      <c r="I29" s="44"/>
      <c r="J29" s="45"/>
      <c r="K29" s="162"/>
      <c r="L29" s="102"/>
      <c r="M29" s="46"/>
      <c r="N29" s="35"/>
    </row>
    <row r="30" spans="1:15" ht="52.8" x14ac:dyDescent="0.25">
      <c r="A30" s="29" t="s">
        <v>50</v>
      </c>
      <c r="B30" s="35" t="s">
        <v>27</v>
      </c>
      <c r="C30" s="87">
        <v>2008</v>
      </c>
      <c r="D30" s="98">
        <f>H30</f>
        <v>399255.63</v>
      </c>
      <c r="E30" s="87"/>
      <c r="F30" s="145">
        <v>3000000</v>
      </c>
      <c r="G30" s="115">
        <f>F30-H30</f>
        <v>2600744.37</v>
      </c>
      <c r="H30" s="123">
        <v>399255.63</v>
      </c>
      <c r="I30" s="51">
        <f>+H30-J30</f>
        <v>0</v>
      </c>
      <c r="J30" s="51">
        <v>399255.63</v>
      </c>
      <c r="K30" s="164"/>
      <c r="L30" s="103"/>
      <c r="M30" s="46" t="s">
        <v>31</v>
      </c>
      <c r="N30" s="35" t="s">
        <v>138</v>
      </c>
      <c r="O30" s="35"/>
    </row>
    <row r="31" spans="1:15" ht="39.6" x14ac:dyDescent="0.25">
      <c r="A31" s="18" t="s">
        <v>51</v>
      </c>
      <c r="B31" s="16" t="s">
        <v>14</v>
      </c>
      <c r="C31" s="129" t="s">
        <v>26</v>
      </c>
      <c r="D31" s="98">
        <f>H31</f>
        <v>79867.08</v>
      </c>
      <c r="E31" s="31"/>
      <c r="F31" s="145">
        <f>750000+18350+35000</f>
        <v>803350</v>
      </c>
      <c r="G31" s="115">
        <f>F31-H31</f>
        <v>723482.92</v>
      </c>
      <c r="H31" s="125">
        <f>79867.08</f>
        <v>79867.08</v>
      </c>
      <c r="I31" s="51">
        <f>+H31-J31</f>
        <v>0</v>
      </c>
      <c r="J31" s="51">
        <v>79867.08</v>
      </c>
      <c r="K31" s="164"/>
      <c r="L31" s="103"/>
      <c r="M31" s="46" t="s">
        <v>31</v>
      </c>
      <c r="N31" s="35" t="s">
        <v>128</v>
      </c>
      <c r="O31" s="35"/>
    </row>
    <row r="32" spans="1:15" ht="79.2" x14ac:dyDescent="0.25">
      <c r="A32" s="18" t="s">
        <v>52</v>
      </c>
      <c r="B32" s="16" t="s">
        <v>25</v>
      </c>
      <c r="C32" s="31">
        <v>2010</v>
      </c>
      <c r="D32" s="98">
        <f>H32</f>
        <v>520000</v>
      </c>
      <c r="E32" s="31"/>
      <c r="F32" s="145">
        <v>800000</v>
      </c>
      <c r="G32" s="115">
        <f>F32-H32</f>
        <v>280000</v>
      </c>
      <c r="H32" s="125">
        <v>520000</v>
      </c>
      <c r="I32" s="51">
        <f>+H32-J32</f>
        <v>60000</v>
      </c>
      <c r="J32" s="51">
        <v>460000</v>
      </c>
      <c r="K32" s="164"/>
      <c r="L32" s="103">
        <v>40765</v>
      </c>
      <c r="M32" s="55" t="s">
        <v>31</v>
      </c>
      <c r="N32" s="35" t="s">
        <v>129</v>
      </c>
      <c r="O32" s="35"/>
    </row>
    <row r="33" spans="1:14" ht="20.25" customHeight="1" x14ac:dyDescent="0.25">
      <c r="A33" s="29"/>
      <c r="B33" s="15"/>
      <c r="C33" s="86"/>
      <c r="D33" s="93"/>
      <c r="E33" s="86"/>
      <c r="F33" s="142">
        <f>SUM(F30:F32)</f>
        <v>4603350</v>
      </c>
      <c r="G33" s="116">
        <f>SUM(G30:G32)</f>
        <v>3604227.29</v>
      </c>
      <c r="H33" s="124">
        <f>SUM(H30:H32)</f>
        <v>999122.71</v>
      </c>
      <c r="I33" s="52">
        <f>SUM(I30:I32)</f>
        <v>60000</v>
      </c>
      <c r="J33" s="52">
        <f>SUM(J30:J32)</f>
        <v>939122.71</v>
      </c>
      <c r="K33" s="165"/>
      <c r="L33" s="102"/>
      <c r="M33" s="46"/>
      <c r="N33" s="50"/>
    </row>
    <row r="34" spans="1:14" ht="20.100000000000001" customHeight="1" x14ac:dyDescent="0.25">
      <c r="A34" s="29"/>
      <c r="B34" s="15"/>
      <c r="C34" s="86"/>
      <c r="D34" s="93"/>
      <c r="E34" s="86"/>
      <c r="F34" s="148"/>
      <c r="G34" s="117"/>
      <c r="H34" s="126"/>
      <c r="I34" s="49"/>
      <c r="J34" s="49"/>
      <c r="K34" s="163"/>
      <c r="L34" s="102"/>
      <c r="M34" s="46"/>
      <c r="N34" s="50"/>
    </row>
    <row r="35" spans="1:14" ht="15.9" customHeight="1" x14ac:dyDescent="0.25">
      <c r="A35" s="137">
        <v>5</v>
      </c>
      <c r="B35" s="48" t="s">
        <v>78</v>
      </c>
      <c r="C35" s="87"/>
      <c r="D35" s="94"/>
      <c r="E35" s="87"/>
      <c r="F35" s="148"/>
      <c r="G35" s="114"/>
      <c r="H35" s="122"/>
      <c r="I35" s="49"/>
      <c r="J35" s="49"/>
      <c r="K35" s="163"/>
      <c r="L35" s="102"/>
      <c r="M35" s="46"/>
      <c r="N35" s="50"/>
    </row>
    <row r="36" spans="1:14" ht="39.6" x14ac:dyDescent="0.25">
      <c r="A36" s="18" t="s">
        <v>79</v>
      </c>
      <c r="B36" s="16" t="s">
        <v>77</v>
      </c>
      <c r="C36" s="89" t="s">
        <v>92</v>
      </c>
      <c r="D36" s="98">
        <f>H36</f>
        <v>2395734.35</v>
      </c>
      <c r="E36" s="88"/>
      <c r="F36" s="145">
        <f>2100000+377956-247795+459920</f>
        <v>2690081</v>
      </c>
      <c r="G36" s="115">
        <f>F36-H36</f>
        <v>294346.64999999991</v>
      </c>
      <c r="H36" s="123">
        <f>1935814.35+459920</f>
        <v>2395734.35</v>
      </c>
      <c r="I36" s="51">
        <f>+H36-J36</f>
        <v>1827123.3</v>
      </c>
      <c r="J36" s="51">
        <v>568611.05000000005</v>
      </c>
      <c r="K36" s="164"/>
      <c r="L36" s="160">
        <v>40833</v>
      </c>
      <c r="M36" s="46" t="s">
        <v>30</v>
      </c>
      <c r="N36" s="35" t="s">
        <v>139</v>
      </c>
    </row>
    <row r="37" spans="1:14" ht="39.6" x14ac:dyDescent="0.25">
      <c r="A37" s="18" t="s">
        <v>70</v>
      </c>
      <c r="B37" s="16" t="s">
        <v>76</v>
      </c>
      <c r="C37" s="82">
        <v>2011</v>
      </c>
      <c r="D37" s="83">
        <f>F37</f>
        <v>2740093</v>
      </c>
      <c r="E37" s="82"/>
      <c r="F37" s="26">
        <f>2375000+688978-323885</f>
        <v>2740093</v>
      </c>
      <c r="G37" s="115">
        <f>F37-H37</f>
        <v>920455.89999999991</v>
      </c>
      <c r="H37" s="123">
        <v>1819637.1</v>
      </c>
      <c r="I37" s="51">
        <f>+H37-J37</f>
        <v>1592047.27</v>
      </c>
      <c r="J37" s="51">
        <v>227589.83</v>
      </c>
      <c r="K37" s="164"/>
      <c r="L37" s="160">
        <v>40812</v>
      </c>
      <c r="M37" s="46" t="s">
        <v>30</v>
      </c>
      <c r="N37" s="35" t="s">
        <v>140</v>
      </c>
    </row>
    <row r="38" spans="1:14" ht="52.8" x14ac:dyDescent="0.25">
      <c r="A38" s="135" t="s">
        <v>88</v>
      </c>
      <c r="B38" s="172" t="s">
        <v>89</v>
      </c>
      <c r="C38" s="89" t="s">
        <v>92</v>
      </c>
      <c r="D38" s="98"/>
      <c r="E38" s="88"/>
      <c r="F38" s="145">
        <f>247795+2900117</f>
        <v>3147912</v>
      </c>
      <c r="G38" s="115">
        <f>F38-H38</f>
        <v>448277.62000000011</v>
      </c>
      <c r="H38" s="123">
        <v>2699634.38</v>
      </c>
      <c r="I38" s="51">
        <f>+H38-J38</f>
        <v>1097202.7699999998</v>
      </c>
      <c r="J38" s="51">
        <v>1602431.61</v>
      </c>
      <c r="K38" s="164"/>
      <c r="L38" s="160">
        <v>40820</v>
      </c>
      <c r="M38" s="46" t="s">
        <v>30</v>
      </c>
      <c r="N38" s="35" t="s">
        <v>141</v>
      </c>
    </row>
    <row r="39" spans="1:14" ht="18" customHeight="1" x14ac:dyDescent="0.25">
      <c r="A39" s="29"/>
      <c r="B39" s="15"/>
      <c r="C39" s="86"/>
      <c r="D39" s="93"/>
      <c r="E39" s="86"/>
      <c r="F39" s="142">
        <f>SUM(F36:F38)</f>
        <v>8578086</v>
      </c>
      <c r="G39" s="116">
        <f>SUM(G36:G38)</f>
        <v>1663080.17</v>
      </c>
      <c r="H39" s="124">
        <f>SUM(H36:H38)</f>
        <v>6915005.8300000001</v>
      </c>
      <c r="I39" s="52">
        <f>SUM(I36:I38)</f>
        <v>4516373.34</v>
      </c>
      <c r="J39" s="27">
        <f>SUM(J36:J38)</f>
        <v>2398632.4900000002</v>
      </c>
      <c r="K39" s="165"/>
      <c r="L39" s="102"/>
      <c r="M39" s="46"/>
      <c r="N39" s="35"/>
    </row>
    <row r="40" spans="1:14" x14ac:dyDescent="0.25">
      <c r="A40" s="29"/>
      <c r="B40" s="15"/>
      <c r="C40" s="86"/>
      <c r="D40" s="93"/>
      <c r="E40" s="86"/>
      <c r="F40" s="148"/>
      <c r="G40" s="117"/>
      <c r="H40" s="126"/>
      <c r="I40" s="49"/>
      <c r="J40" s="49"/>
      <c r="K40" s="163"/>
      <c r="L40" s="102"/>
      <c r="M40" s="46"/>
      <c r="N40" s="50"/>
    </row>
    <row r="41" spans="1:14" ht="18" customHeight="1" x14ac:dyDescent="0.25">
      <c r="A41" s="137">
        <v>6</v>
      </c>
      <c r="B41" s="158" t="s">
        <v>44</v>
      </c>
      <c r="C41" s="87"/>
      <c r="D41" s="94"/>
      <c r="E41" s="87"/>
      <c r="F41" s="149"/>
      <c r="G41" s="118"/>
      <c r="H41" s="128"/>
      <c r="I41" s="49"/>
      <c r="J41" s="49"/>
      <c r="K41" s="163"/>
      <c r="L41" s="102"/>
      <c r="M41" s="46"/>
      <c r="N41" s="50"/>
    </row>
    <row r="42" spans="1:14" ht="17.25" customHeight="1" x14ac:dyDescent="0.25">
      <c r="A42" s="29" t="s">
        <v>54</v>
      </c>
      <c r="B42" s="14" t="s">
        <v>45</v>
      </c>
      <c r="C42" s="24">
        <v>2011</v>
      </c>
      <c r="D42" s="24"/>
      <c r="E42" s="83">
        <f>F42</f>
        <v>574090</v>
      </c>
      <c r="F42" s="26">
        <f>500000+100000-25910</f>
        <v>574090</v>
      </c>
      <c r="G42" s="101">
        <f>F42-H42</f>
        <v>545819.53</v>
      </c>
      <c r="H42" s="123">
        <v>28270.47</v>
      </c>
      <c r="I42" s="51">
        <f>+H42-J42</f>
        <v>28270.47</v>
      </c>
      <c r="J42" s="51">
        <v>0</v>
      </c>
      <c r="K42" s="164"/>
      <c r="L42" s="103">
        <v>40750</v>
      </c>
      <c r="M42" s="46" t="s">
        <v>22</v>
      </c>
      <c r="N42" s="35" t="s">
        <v>121</v>
      </c>
    </row>
    <row r="43" spans="1:14" ht="30" customHeight="1" x14ac:dyDescent="0.25">
      <c r="A43" s="29" t="s">
        <v>58</v>
      </c>
      <c r="B43" s="14" t="s">
        <v>46</v>
      </c>
      <c r="C43" s="24">
        <v>2011</v>
      </c>
      <c r="D43" s="83">
        <f>F43</f>
        <v>938385</v>
      </c>
      <c r="E43" s="24"/>
      <c r="F43" s="26">
        <f>1000000-61615</f>
        <v>938385</v>
      </c>
      <c r="G43" s="115">
        <f>F43-H43</f>
        <v>861679.7</v>
      </c>
      <c r="H43" s="123">
        <v>76705.3</v>
      </c>
      <c r="I43" s="51">
        <f>+H43-J43</f>
        <v>0</v>
      </c>
      <c r="J43" s="51">
        <v>76705.3</v>
      </c>
      <c r="K43" s="164"/>
      <c r="L43" s="103"/>
      <c r="M43" s="46" t="s">
        <v>29</v>
      </c>
      <c r="N43" s="33" t="s">
        <v>142</v>
      </c>
    </row>
    <row r="44" spans="1:14" ht="104.25" customHeight="1" x14ac:dyDescent="0.25">
      <c r="A44" s="54" t="s">
        <v>55</v>
      </c>
      <c r="B44" s="11" t="s">
        <v>15</v>
      </c>
      <c r="C44" s="129" t="s">
        <v>92</v>
      </c>
      <c r="D44" s="99"/>
      <c r="E44" s="138">
        <f>H44</f>
        <v>6273639.4000000004</v>
      </c>
      <c r="F44" s="145">
        <f>200000+6086945</f>
        <v>6286945</v>
      </c>
      <c r="G44" s="115">
        <f>F44-H44</f>
        <v>13305.599999999627</v>
      </c>
      <c r="H44" s="125">
        <f>186694.4+6086945</f>
        <v>6273639.4000000004</v>
      </c>
      <c r="I44" s="51">
        <f>+H44-J44</f>
        <v>0</v>
      </c>
      <c r="J44" s="51">
        <f>186694.4+6086945</f>
        <v>6273639.4000000004</v>
      </c>
      <c r="K44" s="164">
        <v>31000</v>
      </c>
      <c r="L44" s="103"/>
      <c r="M44" s="46" t="s">
        <v>22</v>
      </c>
      <c r="N44" s="35" t="s">
        <v>143</v>
      </c>
    </row>
    <row r="45" spans="1:14" ht="43.5" customHeight="1" x14ac:dyDescent="0.25">
      <c r="A45" s="30" t="s">
        <v>71</v>
      </c>
      <c r="B45" s="23" t="s">
        <v>47</v>
      </c>
      <c r="C45" s="24">
        <v>2011</v>
      </c>
      <c r="D45" s="24"/>
      <c r="E45" s="83">
        <f>F45</f>
        <v>649806</v>
      </c>
      <c r="F45" s="26">
        <f>1000000-350194</f>
        <v>649806</v>
      </c>
      <c r="G45" s="115">
        <f>F45-H45</f>
        <v>589266.1</v>
      </c>
      <c r="H45" s="125">
        <v>60539.9</v>
      </c>
      <c r="I45" s="51">
        <f>+H45-J45</f>
        <v>29539.5</v>
      </c>
      <c r="J45" s="51">
        <v>31000.400000000001</v>
      </c>
      <c r="K45" s="164">
        <v>-31000</v>
      </c>
      <c r="L45" s="160">
        <v>40812</v>
      </c>
      <c r="M45" s="46" t="s">
        <v>22</v>
      </c>
      <c r="N45" s="35" t="s">
        <v>144</v>
      </c>
    </row>
    <row r="46" spans="1:14" ht="86.25" customHeight="1" x14ac:dyDescent="0.25">
      <c r="A46" s="30" t="s">
        <v>72</v>
      </c>
      <c r="B46" s="23" t="s">
        <v>48</v>
      </c>
      <c r="C46" s="24">
        <v>2011</v>
      </c>
      <c r="D46" s="83">
        <f>F46</f>
        <v>500000</v>
      </c>
      <c r="E46" s="24"/>
      <c r="F46" s="26">
        <v>500000</v>
      </c>
      <c r="G46" s="115">
        <f>F46-H46</f>
        <v>0</v>
      </c>
      <c r="H46" s="125">
        <v>500000</v>
      </c>
      <c r="I46" s="51">
        <f>+H46-J46</f>
        <v>0</v>
      </c>
      <c r="J46" s="51">
        <v>500000</v>
      </c>
      <c r="K46" s="164"/>
      <c r="L46" s="103"/>
      <c r="M46" s="46" t="s">
        <v>59</v>
      </c>
      <c r="N46" s="35" t="s">
        <v>145</v>
      </c>
    </row>
    <row r="47" spans="1:14" ht="22.5" customHeight="1" x14ac:dyDescent="0.25">
      <c r="A47" s="47"/>
      <c r="B47" s="56"/>
      <c r="C47" s="87"/>
      <c r="D47" s="94"/>
      <c r="E47" s="87"/>
      <c r="F47" s="142">
        <f>SUM(F42:F46)</f>
        <v>8949226</v>
      </c>
      <c r="G47" s="119">
        <f>SUM(G42:G46)</f>
        <v>2010070.9299999997</v>
      </c>
      <c r="H47" s="124">
        <f>SUM(H42:H46)</f>
        <v>6939155.0700000003</v>
      </c>
      <c r="I47" s="52">
        <f>SUM(I42:I46)</f>
        <v>57809.97</v>
      </c>
      <c r="J47" s="52">
        <f>SUM(J42:J46)</f>
        <v>6881345.1000000006</v>
      </c>
      <c r="K47" s="165"/>
      <c r="L47" s="104"/>
      <c r="M47" s="57"/>
      <c r="N47" s="35"/>
    </row>
    <row r="48" spans="1:14" x14ac:dyDescent="0.25">
      <c r="A48" s="29"/>
      <c r="B48" s="15"/>
      <c r="C48" s="86"/>
      <c r="D48" s="93"/>
      <c r="E48" s="86"/>
      <c r="F48" s="148"/>
      <c r="G48" s="117"/>
      <c r="H48" s="126"/>
      <c r="I48" s="49"/>
      <c r="J48" s="49"/>
      <c r="K48" s="163"/>
      <c r="L48" s="102"/>
      <c r="M48" s="46"/>
      <c r="N48" s="50"/>
    </row>
    <row r="49" spans="1:14" ht="17.25" customHeight="1" x14ac:dyDescent="0.25">
      <c r="A49" s="7">
        <v>7</v>
      </c>
      <c r="B49" s="9" t="s">
        <v>16</v>
      </c>
      <c r="C49" s="17"/>
      <c r="D49" s="17"/>
      <c r="E49" s="17"/>
      <c r="F49" s="28"/>
      <c r="G49" s="117"/>
      <c r="H49" s="126"/>
      <c r="I49" s="49"/>
      <c r="J49" s="49"/>
      <c r="K49" s="163"/>
      <c r="L49" s="102"/>
      <c r="M49" s="46"/>
      <c r="N49" s="50"/>
    </row>
    <row r="50" spans="1:14" ht="30.75" customHeight="1" x14ac:dyDescent="0.25">
      <c r="A50" s="21" t="s">
        <v>49</v>
      </c>
      <c r="B50" s="14" t="s">
        <v>60</v>
      </c>
      <c r="C50" s="24">
        <v>2011</v>
      </c>
      <c r="D50" s="24"/>
      <c r="E50" s="83">
        <f>F50</f>
        <v>2931934</v>
      </c>
      <c r="F50" s="26">
        <f>2934048-2114</f>
        <v>2931934</v>
      </c>
      <c r="G50" s="115">
        <f>F50-H50</f>
        <v>1685161.19</v>
      </c>
      <c r="H50" s="151">
        <v>1246772.81</v>
      </c>
      <c r="I50" s="51">
        <f>+H50-J50</f>
        <v>598575.32000000007</v>
      </c>
      <c r="J50" s="156">
        <v>648197.49</v>
      </c>
      <c r="K50" s="166"/>
      <c r="L50" s="102">
        <v>40770</v>
      </c>
      <c r="M50" s="46" t="s">
        <v>30</v>
      </c>
      <c r="N50" s="50" t="s">
        <v>130</v>
      </c>
    </row>
    <row r="51" spans="1:14" ht="15" customHeight="1" x14ac:dyDescent="0.25">
      <c r="A51" s="17"/>
      <c r="B51" s="5"/>
      <c r="C51" s="24"/>
      <c r="D51" s="24"/>
      <c r="E51" s="24"/>
      <c r="F51" s="27">
        <f>SUM(F50:F50)</f>
        <v>2931934</v>
      </c>
      <c r="G51" s="152">
        <f>SUM(G50:G50)</f>
        <v>1685161.19</v>
      </c>
      <c r="H51" s="153">
        <f>SUM(H50:H50)</f>
        <v>1246772.81</v>
      </c>
      <c r="I51" s="51">
        <f>SUM(I50:I50)</f>
        <v>598575.32000000007</v>
      </c>
      <c r="J51" s="154">
        <f>SUM(J50:J50)</f>
        <v>648197.49</v>
      </c>
      <c r="K51" s="167"/>
      <c r="L51" s="102"/>
      <c r="M51" s="46"/>
      <c r="N51" s="50"/>
    </row>
    <row r="52" spans="1:14" x14ac:dyDescent="0.25">
      <c r="A52" s="29"/>
      <c r="B52" s="15"/>
      <c r="C52" s="86"/>
      <c r="D52" s="93"/>
      <c r="E52" s="86"/>
      <c r="F52" s="148"/>
      <c r="G52" s="117"/>
      <c r="H52" s="126"/>
      <c r="I52" s="155"/>
      <c r="J52" s="49"/>
      <c r="K52" s="163"/>
      <c r="L52" s="102"/>
      <c r="M52" s="46"/>
      <c r="N52" s="50"/>
    </row>
    <row r="53" spans="1:14" ht="27.6" customHeight="1" x14ac:dyDescent="0.25">
      <c r="A53" s="137">
        <v>8</v>
      </c>
      <c r="B53" s="9" t="s">
        <v>17</v>
      </c>
      <c r="C53" s="87"/>
      <c r="D53" s="94"/>
      <c r="E53" s="87"/>
      <c r="F53" s="149"/>
      <c r="G53" s="118"/>
      <c r="H53" s="127"/>
      <c r="I53" s="49"/>
      <c r="J53" s="49"/>
      <c r="K53" s="163"/>
      <c r="L53" s="102"/>
      <c r="M53" s="46"/>
      <c r="N53" s="50"/>
    </row>
    <row r="54" spans="1:14" ht="42.75" customHeight="1" x14ac:dyDescent="0.25">
      <c r="A54" s="19" t="s">
        <v>18</v>
      </c>
      <c r="B54" s="11" t="s">
        <v>19</v>
      </c>
      <c r="C54" s="129" t="s">
        <v>92</v>
      </c>
      <c r="D54" s="98">
        <f>H54</f>
        <v>186507.73</v>
      </c>
      <c r="E54" s="31"/>
      <c r="F54" s="145">
        <f>150000+150000</f>
        <v>300000</v>
      </c>
      <c r="G54" s="115">
        <f>F54-H54</f>
        <v>113492.26999999999</v>
      </c>
      <c r="H54" s="123">
        <f>36507.73+150000</f>
        <v>186507.73</v>
      </c>
      <c r="I54" s="51">
        <f>+H54-J54</f>
        <v>2.0000000018626451E-2</v>
      </c>
      <c r="J54" s="51">
        <f>36507.71+150000</f>
        <v>186507.71</v>
      </c>
      <c r="K54" s="164"/>
      <c r="L54" s="103">
        <v>40718</v>
      </c>
      <c r="M54" s="8" t="s">
        <v>29</v>
      </c>
      <c r="N54" s="35" t="s">
        <v>126</v>
      </c>
    </row>
    <row r="55" spans="1:14" x14ac:dyDescent="0.25">
      <c r="A55" s="157" t="s">
        <v>53</v>
      </c>
      <c r="B55" s="56" t="s">
        <v>93</v>
      </c>
      <c r="C55" s="89" t="s">
        <v>83</v>
      </c>
      <c r="D55" s="98">
        <f>H55</f>
        <v>351340</v>
      </c>
      <c r="E55" s="89"/>
      <c r="F55" s="145">
        <f>250000+101340</f>
        <v>351340</v>
      </c>
      <c r="G55" s="115">
        <f>F55-H55</f>
        <v>0</v>
      </c>
      <c r="H55" s="123">
        <v>351340</v>
      </c>
      <c r="I55" s="51">
        <f>+H55-J55</f>
        <v>1529</v>
      </c>
      <c r="J55" s="51">
        <v>349811</v>
      </c>
      <c r="K55" s="164"/>
      <c r="L55" s="161">
        <v>40836</v>
      </c>
      <c r="M55" s="46" t="s">
        <v>32</v>
      </c>
      <c r="N55" s="35" t="s">
        <v>127</v>
      </c>
    </row>
    <row r="56" spans="1:14" ht="21.9" customHeight="1" x14ac:dyDescent="0.25">
      <c r="A56" s="29"/>
      <c r="B56" s="15"/>
      <c r="C56" s="86"/>
      <c r="D56" s="93"/>
      <c r="E56" s="86"/>
      <c r="F56" s="142">
        <f>SUM(F54:F55)</f>
        <v>651340</v>
      </c>
      <c r="G56" s="116">
        <f>SUM(G54:G55)</f>
        <v>113492.26999999999</v>
      </c>
      <c r="H56" s="124">
        <f>SUM(H54:H55)</f>
        <v>537847.73</v>
      </c>
      <c r="I56" s="52">
        <f>SUM(I54:I55)</f>
        <v>1529.0200000000186</v>
      </c>
      <c r="J56" s="52">
        <f>SUM(J54:J55)</f>
        <v>536318.71</v>
      </c>
      <c r="K56" s="165"/>
      <c r="L56" s="102"/>
      <c r="M56" s="46"/>
      <c r="N56" s="35"/>
    </row>
    <row r="57" spans="1:14" ht="20.25" customHeight="1" x14ac:dyDescent="0.25">
      <c r="A57" s="29"/>
      <c r="B57" s="15"/>
      <c r="C57" s="86"/>
      <c r="D57" s="93"/>
      <c r="E57" s="86"/>
      <c r="F57" s="148"/>
      <c r="G57" s="117"/>
      <c r="H57" s="126"/>
      <c r="I57" s="49"/>
      <c r="J57" s="49"/>
      <c r="K57" s="163"/>
      <c r="L57" s="102"/>
      <c r="M57" s="46"/>
      <c r="N57" s="50"/>
    </row>
    <row r="58" spans="1:14" x14ac:dyDescent="0.25">
      <c r="A58" s="137">
        <v>9</v>
      </c>
      <c r="B58" s="48" t="s">
        <v>7</v>
      </c>
      <c r="C58" s="87"/>
      <c r="D58" s="94"/>
      <c r="E58" s="87"/>
      <c r="F58" s="148"/>
      <c r="G58" s="114"/>
      <c r="H58" s="122"/>
      <c r="I58" s="49"/>
      <c r="J58" s="49"/>
      <c r="K58" s="163"/>
      <c r="L58" s="102"/>
      <c r="M58" s="46"/>
      <c r="N58" s="35"/>
    </row>
    <row r="59" spans="1:14" ht="26.4" x14ac:dyDescent="0.25">
      <c r="A59" s="18" t="s">
        <v>73</v>
      </c>
      <c r="B59" s="16" t="s">
        <v>61</v>
      </c>
      <c r="C59" s="24">
        <v>2011</v>
      </c>
      <c r="D59" s="83">
        <f>F59</f>
        <v>1339649</v>
      </c>
      <c r="E59" s="24"/>
      <c r="F59" s="26">
        <f>1500000-160351</f>
        <v>1339649</v>
      </c>
      <c r="G59" s="115">
        <f>F59-H59</f>
        <v>1233113.42</v>
      </c>
      <c r="H59" s="123">
        <v>106535.58</v>
      </c>
      <c r="I59" s="51">
        <f>+H59-J59</f>
        <v>106535.09</v>
      </c>
      <c r="J59" s="51">
        <v>0.49</v>
      </c>
      <c r="K59" s="164"/>
      <c r="L59" s="103">
        <v>40737</v>
      </c>
      <c r="M59" s="46" t="s">
        <v>31</v>
      </c>
      <c r="N59" s="35" t="s">
        <v>121</v>
      </c>
    </row>
    <row r="60" spans="1:14" x14ac:dyDescent="0.25">
      <c r="A60" s="29"/>
      <c r="B60" s="15"/>
      <c r="C60" s="86"/>
      <c r="D60" s="93"/>
      <c r="E60" s="86"/>
      <c r="F60" s="142">
        <f>SUM(F59:F59)</f>
        <v>1339649</v>
      </c>
      <c r="G60" s="116">
        <f>SUM(G59:G59)</f>
        <v>1233113.42</v>
      </c>
      <c r="H60" s="124">
        <f>SUM(H59:H59)</f>
        <v>106535.58</v>
      </c>
      <c r="I60" s="52">
        <f>SUM(I59:I59)</f>
        <v>106535.09</v>
      </c>
      <c r="J60" s="27">
        <f>SUM(J59:J59)</f>
        <v>0.49</v>
      </c>
      <c r="K60" s="165"/>
      <c r="L60" s="102"/>
      <c r="M60" s="46"/>
      <c r="N60" s="35"/>
    </row>
    <row r="61" spans="1:14" ht="18.899999999999999" customHeight="1" x14ac:dyDescent="0.25">
      <c r="A61" s="47"/>
      <c r="B61" s="56"/>
      <c r="C61" s="87"/>
      <c r="D61" s="94"/>
      <c r="E61" s="87"/>
      <c r="F61" s="149"/>
      <c r="G61" s="118"/>
      <c r="H61" s="127"/>
      <c r="I61" s="44"/>
      <c r="J61" s="58"/>
      <c r="K61" s="162"/>
      <c r="L61" s="104"/>
      <c r="M61" s="57"/>
      <c r="N61" s="35"/>
    </row>
    <row r="62" spans="1:14" x14ac:dyDescent="0.25">
      <c r="A62" s="137">
        <v>12</v>
      </c>
      <c r="B62" s="48" t="s">
        <v>8</v>
      </c>
      <c r="C62" s="87"/>
      <c r="D62" s="94"/>
      <c r="E62" s="87"/>
      <c r="F62" s="149"/>
      <c r="G62" s="118"/>
      <c r="H62" s="128"/>
      <c r="I62" s="49"/>
      <c r="J62" s="49"/>
      <c r="K62" s="163"/>
      <c r="L62" s="102"/>
      <c r="M62" s="46"/>
      <c r="N62" s="50"/>
    </row>
    <row r="63" spans="1:14" x14ac:dyDescent="0.25">
      <c r="A63" s="54" t="s">
        <v>56</v>
      </c>
      <c r="B63" s="11" t="s">
        <v>20</v>
      </c>
      <c r="C63" s="31">
        <v>2010</v>
      </c>
      <c r="D63" s="97">
        <f>H63</f>
        <v>238716.35</v>
      </c>
      <c r="E63" s="31"/>
      <c r="F63" s="145">
        <f>800000+456834-12283</f>
        <v>1244551</v>
      </c>
      <c r="G63" s="101">
        <f>F63-H63</f>
        <v>1005834.65</v>
      </c>
      <c r="H63" s="123">
        <v>238716.35</v>
      </c>
      <c r="I63" s="51">
        <f>+H63-J63</f>
        <v>238716.35</v>
      </c>
      <c r="J63" s="26">
        <v>0</v>
      </c>
      <c r="K63" s="164"/>
      <c r="L63" s="103">
        <v>40779</v>
      </c>
      <c r="M63" s="46" t="s">
        <v>32</v>
      </c>
      <c r="N63" s="35" t="s">
        <v>121</v>
      </c>
    </row>
    <row r="64" spans="1:14" ht="26.1" customHeight="1" x14ac:dyDescent="0.25">
      <c r="A64" s="29"/>
      <c r="B64" s="15"/>
      <c r="C64" s="86"/>
      <c r="D64" s="93"/>
      <c r="E64" s="86"/>
      <c r="F64" s="142">
        <f>SUM(F63)</f>
        <v>1244551</v>
      </c>
      <c r="G64" s="116">
        <f>SUM(G63)</f>
        <v>1005834.65</v>
      </c>
      <c r="H64" s="124">
        <f>SUM(H63)</f>
        <v>238716.35</v>
      </c>
      <c r="I64" s="52">
        <f>SUM(I63)</f>
        <v>238716.35</v>
      </c>
      <c r="J64" s="52">
        <f>SUM(J63)</f>
        <v>0</v>
      </c>
      <c r="K64" s="165"/>
      <c r="L64" s="102"/>
      <c r="M64" s="46"/>
      <c r="N64" s="50"/>
    </row>
    <row r="65" spans="1:14" ht="18" customHeight="1" x14ac:dyDescent="0.25">
      <c r="A65" s="29"/>
      <c r="B65" s="15"/>
      <c r="C65" s="86"/>
      <c r="D65" s="93"/>
      <c r="E65" s="86"/>
      <c r="F65" s="142"/>
      <c r="G65" s="116"/>
      <c r="H65" s="124"/>
      <c r="I65" s="52"/>
      <c r="J65" s="52"/>
      <c r="K65" s="165"/>
      <c r="L65" s="102"/>
      <c r="M65" s="46"/>
      <c r="N65" s="50"/>
    </row>
    <row r="66" spans="1:14" s="62" customFormat="1" ht="24.9" customHeight="1" thickBot="1" x14ac:dyDescent="0.3">
      <c r="A66" s="59"/>
      <c r="B66" s="53"/>
      <c r="C66" s="90"/>
      <c r="D66" s="100">
        <f>SUM(D7:D65)</f>
        <v>11355050.140000001</v>
      </c>
      <c r="E66" s="141">
        <f>SUM(E7:E65)</f>
        <v>17313552.399999999</v>
      </c>
      <c r="F66" s="150">
        <f>F23+F33+F60+F56+F64+F47+F39+F10+F27+F51</f>
        <v>40304727</v>
      </c>
      <c r="G66" s="116">
        <f>G23+G33+G60+G56+G64+G47+G39+G10+G27+G51</f>
        <v>16338037.789999999</v>
      </c>
      <c r="H66" s="130">
        <f>H23+H33+H60+H56+H64+H47+H39+H10+H27+H51</f>
        <v>23966689.210000001</v>
      </c>
      <c r="I66" s="52">
        <f>I23+I33+I60+I56+I64+I47+I39+I10+I27+I51</f>
        <v>9605918.2899999991</v>
      </c>
      <c r="J66" s="27">
        <f>J23+J33+J60+J56+J64+J47+J39+J10+J27+J51</f>
        <v>14360770.92</v>
      </c>
      <c r="K66" s="165"/>
      <c r="L66" s="105"/>
      <c r="M66" s="60"/>
      <c r="N66" s="61"/>
    </row>
    <row r="67" spans="1:14" s="62" customFormat="1" ht="21.75" customHeight="1" thickBot="1" x14ac:dyDescent="0.3">
      <c r="A67" s="2"/>
      <c r="B67" s="63"/>
      <c r="C67" s="39"/>
      <c r="D67" s="266">
        <f>SUM(D66:E66)</f>
        <v>28668602.539999999</v>
      </c>
      <c r="E67" s="267"/>
      <c r="F67" s="64"/>
      <c r="G67" s="64"/>
      <c r="H67" s="64"/>
      <c r="I67" s="132"/>
      <c r="J67" s="64"/>
      <c r="K67" s="168"/>
      <c r="L67" s="65"/>
      <c r="M67" s="66"/>
      <c r="N67" s="67"/>
    </row>
    <row r="68" spans="1:14" x14ac:dyDescent="0.25">
      <c r="A68" s="37"/>
      <c r="B68" s="63" t="s">
        <v>9</v>
      </c>
      <c r="C68" s="2"/>
      <c r="D68" s="2"/>
      <c r="E68" s="2"/>
      <c r="F68" s="64">
        <f>H66</f>
        <v>23966689.210000001</v>
      </c>
      <c r="G68" s="68"/>
      <c r="H68" s="69"/>
      <c r="I68" s="131"/>
      <c r="L68" s="4"/>
    </row>
    <row r="69" spans="1:14" x14ac:dyDescent="0.25">
      <c r="A69" s="37"/>
      <c r="B69" s="63" t="s">
        <v>124</v>
      </c>
      <c r="C69" s="37"/>
      <c r="D69" s="37"/>
      <c r="E69" s="37"/>
      <c r="F69" s="64">
        <f>I66</f>
        <v>9605918.2899999991</v>
      </c>
      <c r="G69" s="4"/>
      <c r="H69" s="132"/>
      <c r="I69" s="131"/>
      <c r="J69" s="70"/>
      <c r="K69" s="169"/>
      <c r="L69" s="4"/>
    </row>
    <row r="70" spans="1:14" x14ac:dyDescent="0.25">
      <c r="A70" s="37"/>
      <c r="B70" s="63" t="s">
        <v>11</v>
      </c>
      <c r="C70" s="37"/>
      <c r="D70" s="37"/>
      <c r="E70" s="37"/>
      <c r="F70" s="71">
        <f>I66/H66</f>
        <v>0.40080288962031391</v>
      </c>
      <c r="G70" s="72"/>
      <c r="H70" s="133"/>
      <c r="I70" s="134"/>
      <c r="L70" s="4"/>
    </row>
    <row r="71" spans="1:14" ht="17.100000000000001" customHeight="1" x14ac:dyDescent="0.25">
      <c r="A71" s="37"/>
      <c r="B71" s="4"/>
      <c r="C71" s="37"/>
      <c r="D71" s="37"/>
      <c r="E71" s="37"/>
      <c r="F71" s="71"/>
      <c r="G71" s="72"/>
      <c r="H71" s="73"/>
      <c r="I71" s="4"/>
      <c r="L71" s="4"/>
    </row>
    <row r="73" spans="1:14" x14ac:dyDescent="0.25">
      <c r="L73" s="36"/>
    </row>
    <row r="75" spans="1:14" x14ac:dyDescent="0.25">
      <c r="A75" s="37"/>
      <c r="B75" s="4"/>
      <c r="C75" s="37"/>
      <c r="D75" s="37"/>
      <c r="E75" s="37"/>
      <c r="F75" s="72"/>
      <c r="G75" s="72"/>
      <c r="H75" s="73"/>
      <c r="I75" s="4"/>
      <c r="L75" s="4"/>
    </row>
    <row r="76" spans="1:14" x14ac:dyDescent="0.25">
      <c r="A76" s="37"/>
      <c r="B76" s="4"/>
      <c r="C76" s="37"/>
      <c r="D76" s="37"/>
      <c r="E76" s="37"/>
      <c r="F76" s="72"/>
      <c r="G76" s="72"/>
      <c r="H76" s="73"/>
      <c r="I76" s="4"/>
      <c r="L76" s="4"/>
    </row>
    <row r="77" spans="1:14" x14ac:dyDescent="0.25">
      <c r="A77" s="37"/>
      <c r="B77" s="4"/>
      <c r="C77" s="37"/>
      <c r="D77" s="37"/>
      <c r="E77" s="37"/>
      <c r="F77" s="72"/>
      <c r="G77" s="72"/>
      <c r="H77" s="73"/>
      <c r="I77" s="74"/>
      <c r="J77" s="74"/>
      <c r="L77" s="4"/>
    </row>
    <row r="78" spans="1:14" x14ac:dyDescent="0.25">
      <c r="A78" s="37"/>
      <c r="B78" s="4"/>
      <c r="C78" s="37"/>
      <c r="D78" s="37"/>
      <c r="E78" s="37"/>
      <c r="F78" s="72"/>
      <c r="G78" s="72"/>
      <c r="H78" s="73"/>
      <c r="I78" s="4"/>
      <c r="L78" s="4"/>
    </row>
    <row r="79" spans="1:14" ht="15.6" x14ac:dyDescent="0.25">
      <c r="F79" s="76"/>
      <c r="G79" s="76"/>
      <c r="H79" s="77"/>
      <c r="I79" s="78"/>
      <c r="J79" s="79"/>
      <c r="K79" s="170"/>
      <c r="L79" s="78"/>
      <c r="M79" s="80"/>
    </row>
    <row r="80" spans="1:14" ht="15.6" x14ac:dyDescent="0.25">
      <c r="A80" s="38"/>
      <c r="C80" s="38"/>
      <c r="D80" s="38"/>
      <c r="E80" s="38"/>
      <c r="F80" s="76"/>
      <c r="G80" s="76"/>
      <c r="H80" s="77"/>
      <c r="I80" s="78"/>
      <c r="J80" s="79"/>
      <c r="K80" s="170"/>
      <c r="L80" s="78"/>
      <c r="M80" s="80"/>
    </row>
    <row r="81" spans="1:13" ht="15.6" x14ac:dyDescent="0.25">
      <c r="A81" s="38"/>
      <c r="C81" s="38"/>
      <c r="D81" s="38"/>
      <c r="E81" s="38"/>
      <c r="F81" s="76"/>
      <c r="G81" s="76"/>
      <c r="H81" s="77"/>
      <c r="I81" s="78"/>
      <c r="J81" s="79"/>
      <c r="K81" s="170"/>
      <c r="L81" s="78"/>
      <c r="M81" s="80"/>
    </row>
    <row r="82" spans="1:13" ht="15.6" x14ac:dyDescent="0.25">
      <c r="A82" s="38"/>
      <c r="C82" s="38"/>
      <c r="D82" s="38"/>
      <c r="E82" s="38"/>
      <c r="F82" s="76"/>
      <c r="G82" s="76"/>
      <c r="H82" s="77"/>
      <c r="I82" s="78"/>
      <c r="J82" s="79"/>
      <c r="K82" s="170"/>
      <c r="L82" s="78"/>
      <c r="M82" s="80"/>
    </row>
    <row r="83" spans="1:13" ht="15.6" x14ac:dyDescent="0.25">
      <c r="A83" s="38"/>
      <c r="C83" s="38"/>
      <c r="D83" s="38"/>
      <c r="E83" s="38"/>
      <c r="F83" s="76"/>
      <c r="G83" s="76"/>
      <c r="H83" s="77"/>
      <c r="I83" s="78"/>
      <c r="J83" s="79"/>
      <c r="K83" s="170"/>
      <c r="L83" s="78"/>
      <c r="M83" s="80"/>
    </row>
    <row r="84" spans="1:13" ht="15.6" x14ac:dyDescent="0.25">
      <c r="A84" s="38"/>
      <c r="C84" s="38"/>
      <c r="D84" s="38"/>
      <c r="E84" s="38"/>
      <c r="F84" s="78"/>
      <c r="G84" s="78"/>
      <c r="H84" s="81"/>
      <c r="I84" s="78"/>
      <c r="J84" s="79"/>
      <c r="K84" s="170"/>
      <c r="L84" s="78"/>
      <c r="M84" s="80"/>
    </row>
    <row r="85" spans="1:13" ht="15.6" x14ac:dyDescent="0.25">
      <c r="A85" s="38"/>
      <c r="C85" s="38"/>
      <c r="D85" s="38"/>
      <c r="E85" s="38"/>
      <c r="F85" s="78"/>
      <c r="G85" s="78"/>
      <c r="H85" s="81"/>
      <c r="I85" s="78"/>
      <c r="J85" s="79"/>
      <c r="K85" s="170"/>
      <c r="L85" s="78"/>
      <c r="M85" s="80"/>
    </row>
    <row r="86" spans="1:13" ht="15.6" x14ac:dyDescent="0.25">
      <c r="A86" s="38"/>
      <c r="C86" s="38"/>
      <c r="D86" s="38"/>
      <c r="E86" s="38"/>
      <c r="F86" s="78"/>
      <c r="G86" s="78"/>
      <c r="H86" s="81"/>
      <c r="I86" s="78"/>
      <c r="J86" s="79"/>
      <c r="K86" s="170"/>
      <c r="L86" s="78"/>
      <c r="M86" s="80"/>
    </row>
    <row r="87" spans="1:13" ht="15.6" x14ac:dyDescent="0.25">
      <c r="A87" s="38"/>
      <c r="C87" s="38"/>
      <c r="D87" s="38"/>
      <c r="E87" s="38"/>
      <c r="F87" s="78"/>
      <c r="G87" s="78"/>
      <c r="H87" s="78"/>
      <c r="I87" s="78"/>
      <c r="J87" s="79"/>
      <c r="K87" s="170"/>
      <c r="L87" s="78"/>
      <c r="M87" s="80"/>
    </row>
    <row r="88" spans="1:13" ht="15.6" x14ac:dyDescent="0.25">
      <c r="A88" s="38"/>
      <c r="C88" s="38"/>
      <c r="D88" s="38"/>
      <c r="E88" s="38"/>
      <c r="F88" s="78"/>
      <c r="G88" s="78"/>
      <c r="H88" s="78"/>
      <c r="I88" s="78"/>
      <c r="J88" s="79"/>
      <c r="K88" s="170"/>
      <c r="L88" s="78"/>
      <c r="M88" s="80"/>
    </row>
    <row r="89" spans="1:13" ht="15.6" x14ac:dyDescent="0.25">
      <c r="A89" s="38"/>
      <c r="C89" s="38"/>
      <c r="D89" s="38"/>
      <c r="E89" s="38"/>
      <c r="F89" s="78"/>
      <c r="G89" s="78"/>
      <c r="H89" s="78"/>
      <c r="I89" s="78"/>
      <c r="J89" s="79"/>
      <c r="K89" s="170"/>
      <c r="L89" s="78"/>
      <c r="M89" s="80"/>
    </row>
    <row r="90" spans="1:13" ht="15.6" x14ac:dyDescent="0.25">
      <c r="A90" s="38"/>
      <c r="C90" s="38"/>
      <c r="D90" s="38"/>
      <c r="E90" s="38"/>
      <c r="F90" s="78"/>
      <c r="G90" s="78"/>
      <c r="H90" s="78"/>
      <c r="I90" s="78"/>
      <c r="J90" s="79"/>
      <c r="K90" s="170"/>
      <c r="L90" s="78"/>
      <c r="M90" s="80"/>
    </row>
    <row r="91" spans="1:13" ht="15.6" x14ac:dyDescent="0.25">
      <c r="A91" s="38"/>
      <c r="C91" s="38"/>
      <c r="D91" s="38"/>
      <c r="E91" s="38"/>
      <c r="F91" s="78"/>
      <c r="G91" s="78"/>
      <c r="H91" s="78"/>
      <c r="I91" s="78"/>
      <c r="J91" s="79"/>
      <c r="K91" s="170"/>
      <c r="L91" s="78"/>
      <c r="M91" s="80"/>
    </row>
    <row r="92" spans="1:13" ht="15.6" x14ac:dyDescent="0.25">
      <c r="A92" s="38"/>
      <c r="C92" s="38"/>
      <c r="D92" s="38"/>
      <c r="E92" s="38"/>
      <c r="F92" s="78"/>
      <c r="G92" s="78"/>
      <c r="H92" s="78"/>
      <c r="I92" s="78"/>
      <c r="J92" s="79"/>
      <c r="K92" s="170"/>
      <c r="L92" s="78"/>
      <c r="M92" s="80"/>
    </row>
    <row r="93" spans="1:13" ht="15.6" x14ac:dyDescent="0.25">
      <c r="A93" s="38"/>
      <c r="C93" s="38"/>
      <c r="D93" s="38"/>
      <c r="E93" s="38"/>
      <c r="F93" s="78"/>
      <c r="G93" s="78"/>
      <c r="H93" s="78"/>
      <c r="I93" s="78"/>
      <c r="J93" s="79"/>
      <c r="K93" s="170"/>
      <c r="L93" s="78"/>
      <c r="M93" s="80"/>
    </row>
    <row r="94" spans="1:13" ht="15.6" x14ac:dyDescent="0.25">
      <c r="A94" s="38"/>
      <c r="C94" s="38"/>
      <c r="D94" s="38"/>
      <c r="E94" s="38"/>
      <c r="F94" s="78"/>
      <c r="G94" s="78"/>
      <c r="H94" s="78"/>
      <c r="I94" s="78"/>
      <c r="J94" s="79"/>
      <c r="K94" s="170"/>
      <c r="L94" s="78"/>
      <c r="M94" s="80"/>
    </row>
    <row r="95" spans="1:13" ht="15.6" x14ac:dyDescent="0.25">
      <c r="A95" s="38"/>
      <c r="C95" s="38"/>
      <c r="D95" s="38"/>
      <c r="E95" s="38"/>
      <c r="F95" s="78"/>
      <c r="G95" s="78"/>
      <c r="H95" s="78"/>
      <c r="I95" s="78"/>
      <c r="J95" s="79"/>
      <c r="K95" s="170"/>
      <c r="L95" s="78"/>
      <c r="M95" s="80"/>
    </row>
    <row r="96" spans="1:13" ht="15.6" x14ac:dyDescent="0.25">
      <c r="A96" s="38"/>
      <c r="C96" s="38"/>
      <c r="D96" s="38"/>
      <c r="E96" s="38"/>
      <c r="F96" s="78"/>
      <c r="G96" s="78"/>
      <c r="H96" s="78"/>
      <c r="I96" s="78"/>
      <c r="J96" s="79"/>
      <c r="K96" s="170"/>
      <c r="L96" s="78"/>
      <c r="M96" s="80"/>
    </row>
    <row r="97" spans="1:13" ht="15.6" x14ac:dyDescent="0.25">
      <c r="A97" s="38"/>
      <c r="C97" s="38"/>
      <c r="D97" s="38"/>
      <c r="E97" s="38"/>
      <c r="F97" s="78"/>
      <c r="G97" s="78"/>
      <c r="H97" s="78"/>
      <c r="I97" s="78"/>
      <c r="J97" s="79"/>
      <c r="K97" s="170"/>
      <c r="L97" s="78"/>
      <c r="M97" s="80"/>
    </row>
    <row r="98" spans="1:13" ht="15.6" x14ac:dyDescent="0.25">
      <c r="A98" s="38"/>
      <c r="C98" s="38"/>
      <c r="D98" s="38"/>
      <c r="E98" s="38"/>
      <c r="F98" s="78"/>
      <c r="G98" s="78"/>
      <c r="H98" s="78"/>
      <c r="I98" s="78"/>
      <c r="J98" s="79"/>
      <c r="K98" s="170"/>
      <c r="L98" s="78"/>
      <c r="M98" s="80"/>
    </row>
    <row r="99" spans="1:13" ht="15.6" x14ac:dyDescent="0.25">
      <c r="A99" s="38"/>
      <c r="C99" s="38"/>
      <c r="D99" s="38"/>
      <c r="E99" s="38"/>
      <c r="F99" s="78"/>
      <c r="G99" s="78"/>
      <c r="H99" s="78"/>
      <c r="I99" s="78"/>
      <c r="J99" s="79"/>
      <c r="K99" s="170"/>
      <c r="L99" s="78"/>
      <c r="M99" s="80"/>
    </row>
    <row r="100" spans="1:13" ht="15.6" x14ac:dyDescent="0.25">
      <c r="A100" s="38"/>
      <c r="C100" s="38"/>
      <c r="D100" s="38"/>
      <c r="E100" s="38"/>
      <c r="F100" s="78"/>
      <c r="G100" s="78"/>
      <c r="H100" s="78"/>
      <c r="I100" s="78"/>
      <c r="J100" s="79"/>
      <c r="K100" s="170"/>
      <c r="L100" s="78"/>
      <c r="M100" s="80"/>
    </row>
    <row r="101" spans="1:13" ht="15.6" x14ac:dyDescent="0.25">
      <c r="A101" s="38"/>
      <c r="C101" s="38"/>
      <c r="D101" s="38"/>
      <c r="E101" s="38"/>
      <c r="F101" s="78"/>
      <c r="G101" s="78"/>
      <c r="H101" s="78"/>
      <c r="I101" s="78"/>
      <c r="J101" s="79"/>
      <c r="K101" s="170"/>
      <c r="L101" s="78"/>
      <c r="M101" s="80"/>
    </row>
    <row r="102" spans="1:13" ht="15.6" x14ac:dyDescent="0.25">
      <c r="A102" s="38"/>
      <c r="C102" s="38"/>
      <c r="D102" s="38"/>
      <c r="E102" s="38"/>
      <c r="F102" s="78"/>
      <c r="G102" s="78"/>
      <c r="H102" s="78"/>
      <c r="I102" s="78"/>
      <c r="J102" s="79"/>
      <c r="K102" s="170"/>
      <c r="L102" s="78"/>
      <c r="M102" s="80"/>
    </row>
    <row r="103" spans="1:13" ht="15.6" x14ac:dyDescent="0.25">
      <c r="A103" s="38"/>
      <c r="C103" s="38"/>
      <c r="D103" s="38"/>
      <c r="E103" s="38"/>
      <c r="F103" s="78"/>
      <c r="G103" s="78"/>
      <c r="H103" s="78"/>
      <c r="I103" s="78"/>
      <c r="J103" s="79"/>
      <c r="K103" s="170"/>
      <c r="L103" s="78"/>
      <c r="M103" s="80"/>
    </row>
    <row r="104" spans="1:13" ht="15.6" x14ac:dyDescent="0.25">
      <c r="A104" s="38"/>
      <c r="C104" s="38"/>
      <c r="D104" s="38"/>
      <c r="E104" s="38"/>
      <c r="F104" s="78"/>
      <c r="G104" s="78"/>
      <c r="H104" s="78"/>
      <c r="I104" s="78"/>
      <c r="J104" s="79"/>
      <c r="K104" s="170"/>
      <c r="L104" s="78"/>
      <c r="M104" s="80"/>
    </row>
    <row r="105" spans="1:13" ht="15.6" x14ac:dyDescent="0.25">
      <c r="A105" s="38"/>
      <c r="C105" s="38"/>
      <c r="D105" s="38"/>
      <c r="E105" s="38"/>
      <c r="F105" s="78"/>
      <c r="G105" s="78"/>
      <c r="H105" s="78"/>
      <c r="I105" s="78"/>
      <c r="J105" s="79"/>
      <c r="K105" s="170"/>
      <c r="L105" s="78"/>
      <c r="M105" s="80"/>
    </row>
    <row r="106" spans="1:13" ht="15.6" x14ac:dyDescent="0.25">
      <c r="A106" s="38"/>
      <c r="C106" s="38"/>
      <c r="D106" s="38"/>
      <c r="E106" s="38"/>
      <c r="F106" s="78"/>
      <c r="G106" s="78"/>
      <c r="H106" s="78"/>
      <c r="I106" s="78"/>
      <c r="J106" s="79"/>
      <c r="K106" s="170"/>
      <c r="L106" s="78"/>
      <c r="M106" s="80"/>
    </row>
    <row r="107" spans="1:13" ht="15.6" x14ac:dyDescent="0.25">
      <c r="A107" s="38"/>
      <c r="C107" s="38"/>
      <c r="D107" s="38"/>
      <c r="E107" s="38"/>
      <c r="F107" s="78"/>
      <c r="G107" s="78"/>
      <c r="H107" s="78"/>
      <c r="I107" s="78"/>
      <c r="J107" s="79"/>
      <c r="K107" s="170"/>
      <c r="L107" s="78"/>
      <c r="M107" s="80"/>
    </row>
    <row r="108" spans="1:13" ht="15.6" x14ac:dyDescent="0.25">
      <c r="A108" s="38"/>
      <c r="C108" s="38"/>
      <c r="D108" s="38"/>
      <c r="E108" s="38"/>
      <c r="F108" s="78"/>
      <c r="G108" s="78"/>
      <c r="H108" s="78"/>
      <c r="I108" s="78"/>
      <c r="J108" s="79"/>
      <c r="K108" s="170"/>
      <c r="L108" s="78"/>
      <c r="M108" s="80"/>
    </row>
    <row r="109" spans="1:13" ht="15.6" x14ac:dyDescent="0.25">
      <c r="A109" s="38"/>
      <c r="C109" s="38"/>
      <c r="D109" s="38"/>
      <c r="E109" s="38"/>
      <c r="F109" s="78"/>
      <c r="G109" s="78"/>
      <c r="H109" s="78"/>
      <c r="I109" s="78"/>
      <c r="J109" s="79"/>
      <c r="K109" s="170"/>
      <c r="L109" s="78"/>
      <c r="M109" s="80"/>
    </row>
    <row r="110" spans="1:13" ht="15.6" x14ac:dyDescent="0.25">
      <c r="A110" s="38"/>
      <c r="C110" s="38"/>
      <c r="D110" s="38"/>
      <c r="E110" s="38"/>
      <c r="F110" s="78"/>
      <c r="G110" s="78"/>
      <c r="H110" s="78"/>
      <c r="I110" s="78"/>
      <c r="J110" s="79"/>
      <c r="K110" s="170"/>
      <c r="L110" s="78"/>
      <c r="M110" s="80"/>
    </row>
    <row r="111" spans="1:13" ht="15.6" x14ac:dyDescent="0.25">
      <c r="A111" s="38"/>
      <c r="C111" s="38"/>
      <c r="D111" s="38"/>
      <c r="E111" s="38"/>
      <c r="F111" s="78"/>
      <c r="G111" s="78"/>
      <c r="H111" s="78"/>
      <c r="I111" s="78"/>
      <c r="J111" s="79"/>
      <c r="K111" s="170"/>
      <c r="L111" s="78"/>
      <c r="M111" s="80"/>
    </row>
    <row r="112" spans="1:13" ht="15.6" x14ac:dyDescent="0.25">
      <c r="A112" s="38"/>
      <c r="C112" s="38"/>
      <c r="D112" s="38"/>
      <c r="E112" s="38"/>
      <c r="F112" s="78"/>
      <c r="G112" s="78"/>
      <c r="H112" s="78"/>
      <c r="I112" s="78"/>
      <c r="J112" s="79"/>
      <c r="K112" s="170"/>
      <c r="L112" s="78"/>
      <c r="M112" s="80"/>
    </row>
    <row r="113" spans="1:13" ht="15.6" x14ac:dyDescent="0.25">
      <c r="A113" s="38"/>
      <c r="C113" s="38"/>
      <c r="D113" s="38"/>
      <c r="E113" s="38"/>
      <c r="F113" s="78"/>
      <c r="G113" s="78"/>
      <c r="H113" s="78"/>
      <c r="I113" s="78"/>
      <c r="J113" s="79"/>
      <c r="K113" s="170"/>
      <c r="L113" s="78"/>
      <c r="M113" s="80"/>
    </row>
    <row r="114" spans="1:13" ht="15.6" x14ac:dyDescent="0.25">
      <c r="A114" s="38"/>
      <c r="C114" s="38"/>
      <c r="D114" s="38"/>
      <c r="E114" s="38"/>
      <c r="F114" s="78"/>
      <c r="G114" s="78"/>
      <c r="H114" s="78"/>
      <c r="I114" s="78"/>
      <c r="J114" s="79"/>
      <c r="K114" s="170"/>
      <c r="L114" s="78"/>
      <c r="M114" s="80"/>
    </row>
    <row r="115" spans="1:13" ht="15.6" x14ac:dyDescent="0.25">
      <c r="A115" s="38"/>
      <c r="C115" s="38"/>
      <c r="D115" s="38"/>
      <c r="E115" s="38"/>
      <c r="F115" s="78"/>
      <c r="G115" s="78"/>
      <c r="H115" s="78"/>
      <c r="I115" s="78"/>
      <c r="J115" s="79"/>
      <c r="K115" s="170"/>
      <c r="L115" s="78"/>
      <c r="M115" s="80"/>
    </row>
    <row r="116" spans="1:13" ht="15.6" x14ac:dyDescent="0.25">
      <c r="A116" s="38"/>
      <c r="C116" s="38"/>
      <c r="D116" s="38"/>
      <c r="E116" s="38"/>
      <c r="F116" s="78"/>
      <c r="G116" s="78"/>
      <c r="H116" s="78"/>
      <c r="I116" s="78"/>
      <c r="J116" s="79"/>
      <c r="K116" s="170"/>
      <c r="L116" s="78"/>
      <c r="M116" s="80"/>
    </row>
    <row r="117" spans="1:13" ht="15.6" x14ac:dyDescent="0.25">
      <c r="A117" s="38"/>
      <c r="C117" s="38"/>
      <c r="D117" s="38"/>
      <c r="E117" s="38"/>
      <c r="F117" s="78"/>
      <c r="G117" s="78"/>
      <c r="H117" s="78"/>
      <c r="I117" s="78"/>
      <c r="J117" s="79"/>
      <c r="K117" s="170"/>
      <c r="L117" s="78"/>
      <c r="M117" s="80"/>
    </row>
    <row r="118" spans="1:13" ht="15.6" x14ac:dyDescent="0.25">
      <c r="A118" s="38"/>
      <c r="C118" s="38"/>
      <c r="D118" s="38"/>
      <c r="E118" s="38"/>
      <c r="F118" s="78"/>
      <c r="G118" s="78"/>
      <c r="H118" s="78"/>
      <c r="I118" s="78"/>
      <c r="J118" s="79"/>
      <c r="K118" s="170"/>
      <c r="L118" s="78"/>
      <c r="M118" s="80"/>
    </row>
    <row r="119" spans="1:13" ht="15.6" x14ac:dyDescent="0.25">
      <c r="A119" s="38"/>
      <c r="C119" s="38"/>
      <c r="D119" s="38"/>
      <c r="E119" s="38"/>
      <c r="F119" s="78"/>
      <c r="G119" s="78"/>
      <c r="H119" s="78"/>
      <c r="I119" s="78"/>
      <c r="J119" s="79"/>
      <c r="K119" s="170"/>
      <c r="L119" s="78"/>
      <c r="M119" s="80"/>
    </row>
    <row r="120" spans="1:13" ht="15.6" x14ac:dyDescent="0.25">
      <c r="A120" s="38"/>
      <c r="C120" s="38"/>
      <c r="D120" s="38"/>
      <c r="E120" s="38"/>
      <c r="F120" s="78"/>
      <c r="G120" s="78"/>
      <c r="H120" s="78"/>
      <c r="I120" s="78"/>
      <c r="J120" s="79"/>
      <c r="K120" s="170"/>
      <c r="L120" s="78"/>
      <c r="M120" s="80"/>
    </row>
    <row r="121" spans="1:13" ht="15.6" x14ac:dyDescent="0.25">
      <c r="A121" s="38"/>
      <c r="C121" s="38"/>
      <c r="D121" s="38"/>
      <c r="E121" s="38"/>
      <c r="F121" s="78"/>
      <c r="G121" s="78"/>
      <c r="H121" s="78"/>
      <c r="I121" s="78"/>
      <c r="J121" s="79"/>
      <c r="K121" s="170"/>
      <c r="L121" s="78"/>
      <c r="M121" s="80"/>
    </row>
    <row r="122" spans="1:13" ht="15.6" x14ac:dyDescent="0.25">
      <c r="A122" s="38"/>
      <c r="C122" s="38"/>
      <c r="D122" s="38"/>
      <c r="E122" s="38"/>
      <c r="F122" s="78"/>
      <c r="G122" s="78"/>
      <c r="H122" s="78"/>
      <c r="I122" s="78"/>
      <c r="J122" s="79"/>
      <c r="K122" s="170"/>
      <c r="L122" s="78"/>
      <c r="M122" s="80"/>
    </row>
    <row r="123" spans="1:13" ht="15.6" x14ac:dyDescent="0.25">
      <c r="A123" s="38"/>
      <c r="C123" s="38"/>
      <c r="D123" s="38"/>
      <c r="E123" s="38"/>
      <c r="F123" s="78"/>
      <c r="G123" s="78"/>
      <c r="H123" s="78"/>
      <c r="I123" s="78"/>
      <c r="J123" s="79"/>
      <c r="K123" s="170"/>
      <c r="L123" s="78"/>
      <c r="M123" s="80"/>
    </row>
    <row r="124" spans="1:13" ht="15.6" x14ac:dyDescent="0.25">
      <c r="A124" s="38"/>
      <c r="C124" s="38"/>
      <c r="D124" s="38"/>
      <c r="E124" s="38"/>
      <c r="F124" s="78"/>
      <c r="G124" s="78"/>
      <c r="H124" s="78"/>
      <c r="I124" s="78"/>
      <c r="J124" s="79"/>
      <c r="K124" s="170"/>
      <c r="L124" s="78"/>
      <c r="M124" s="80"/>
    </row>
    <row r="125" spans="1:13" ht="15.6" x14ac:dyDescent="0.25">
      <c r="A125" s="38"/>
      <c r="C125" s="38"/>
      <c r="D125" s="38"/>
      <c r="E125" s="38"/>
      <c r="F125" s="78"/>
      <c r="G125" s="78"/>
      <c r="H125" s="78"/>
      <c r="I125" s="78"/>
      <c r="J125" s="79"/>
      <c r="K125" s="170"/>
      <c r="L125" s="78"/>
      <c r="M125" s="80"/>
    </row>
    <row r="126" spans="1:13" ht="15.6" x14ac:dyDescent="0.25">
      <c r="A126" s="38"/>
      <c r="C126" s="38"/>
      <c r="D126" s="38"/>
      <c r="E126" s="38"/>
      <c r="F126" s="78"/>
      <c r="G126" s="78"/>
      <c r="H126" s="78"/>
      <c r="I126" s="78"/>
      <c r="J126" s="79"/>
      <c r="K126" s="170"/>
      <c r="L126" s="78"/>
      <c r="M126" s="80"/>
    </row>
    <row r="127" spans="1:13" ht="15.6" x14ac:dyDescent="0.25">
      <c r="A127" s="38"/>
      <c r="C127" s="38"/>
      <c r="D127" s="38"/>
      <c r="E127" s="38"/>
      <c r="F127" s="78"/>
      <c r="G127" s="78"/>
      <c r="H127" s="78"/>
      <c r="I127" s="78"/>
      <c r="J127" s="79"/>
      <c r="K127" s="170"/>
      <c r="L127" s="78"/>
      <c r="M127" s="80"/>
    </row>
    <row r="128" spans="1:13" ht="15.6" x14ac:dyDescent="0.25">
      <c r="A128" s="38"/>
      <c r="C128" s="38"/>
      <c r="D128" s="38"/>
      <c r="E128" s="38"/>
      <c r="F128" s="78"/>
      <c r="G128" s="78"/>
      <c r="H128" s="78"/>
      <c r="I128" s="78"/>
      <c r="J128" s="79"/>
      <c r="K128" s="170"/>
      <c r="L128" s="78"/>
      <c r="M128" s="80"/>
    </row>
    <row r="129" spans="1:13" ht="15.6" x14ac:dyDescent="0.25">
      <c r="A129" s="38"/>
      <c r="C129" s="38"/>
      <c r="D129" s="38"/>
      <c r="E129" s="38"/>
      <c r="F129" s="78"/>
      <c r="G129" s="78"/>
      <c r="H129" s="78"/>
      <c r="I129" s="78"/>
      <c r="J129" s="79"/>
      <c r="K129" s="170"/>
      <c r="L129" s="78"/>
      <c r="M129" s="80"/>
    </row>
    <row r="130" spans="1:13" ht="15.6" x14ac:dyDescent="0.25">
      <c r="A130" s="38"/>
      <c r="C130" s="38"/>
      <c r="D130" s="38"/>
      <c r="E130" s="38"/>
      <c r="F130" s="78"/>
      <c r="G130" s="78"/>
      <c r="H130" s="78"/>
      <c r="I130" s="78"/>
      <c r="J130" s="79"/>
      <c r="K130" s="170"/>
      <c r="L130" s="78"/>
      <c r="M130" s="80"/>
    </row>
    <row r="131" spans="1:13" ht="15.6" x14ac:dyDescent="0.25">
      <c r="A131" s="38"/>
      <c r="C131" s="38"/>
      <c r="D131" s="38"/>
      <c r="E131" s="38"/>
      <c r="F131" s="78"/>
      <c r="G131" s="78"/>
      <c r="H131" s="78"/>
      <c r="I131" s="78"/>
      <c r="J131" s="79"/>
      <c r="K131" s="170"/>
      <c r="L131" s="78"/>
      <c r="M131" s="80"/>
    </row>
    <row r="132" spans="1:13" ht="15.6" x14ac:dyDescent="0.25">
      <c r="A132" s="38"/>
      <c r="C132" s="38"/>
      <c r="D132" s="38"/>
      <c r="E132" s="38"/>
      <c r="F132" s="78"/>
      <c r="G132" s="78"/>
      <c r="H132" s="78"/>
      <c r="I132" s="78"/>
      <c r="J132" s="79"/>
      <c r="K132" s="170"/>
      <c r="L132" s="78"/>
      <c r="M132" s="80"/>
    </row>
    <row r="133" spans="1:13" ht="15.6" x14ac:dyDescent="0.25">
      <c r="A133" s="38"/>
      <c r="C133" s="38"/>
      <c r="D133" s="38"/>
      <c r="E133" s="38"/>
      <c r="F133" s="78"/>
      <c r="G133" s="78"/>
      <c r="H133" s="78"/>
      <c r="I133" s="78"/>
      <c r="J133" s="79"/>
      <c r="K133" s="170"/>
      <c r="L133" s="78"/>
      <c r="M133" s="80"/>
    </row>
    <row r="134" spans="1:13" ht="15.6" x14ac:dyDescent="0.25">
      <c r="A134" s="38"/>
      <c r="C134" s="38"/>
      <c r="D134" s="38"/>
      <c r="E134" s="38"/>
      <c r="F134" s="78"/>
      <c r="G134" s="78"/>
      <c r="H134" s="78"/>
      <c r="I134" s="78"/>
      <c r="J134" s="79"/>
      <c r="K134" s="170"/>
      <c r="L134" s="78"/>
      <c r="M134" s="80"/>
    </row>
    <row r="135" spans="1:13" ht="15.6" x14ac:dyDescent="0.25">
      <c r="A135" s="38"/>
      <c r="C135" s="38"/>
      <c r="D135" s="38"/>
      <c r="E135" s="38"/>
      <c r="F135" s="78"/>
      <c r="G135" s="78"/>
      <c r="H135" s="78"/>
      <c r="I135" s="78"/>
      <c r="J135" s="79"/>
      <c r="K135" s="170"/>
      <c r="L135" s="78"/>
      <c r="M135" s="80"/>
    </row>
    <row r="136" spans="1:13" ht="15.6" x14ac:dyDescent="0.25">
      <c r="A136" s="38"/>
      <c r="C136" s="38"/>
      <c r="D136" s="38"/>
      <c r="E136" s="38"/>
      <c r="F136" s="78"/>
      <c r="G136" s="78"/>
      <c r="H136" s="78"/>
      <c r="I136" s="78"/>
      <c r="J136" s="79"/>
      <c r="K136" s="170"/>
      <c r="L136" s="78"/>
      <c r="M136" s="80"/>
    </row>
    <row r="137" spans="1:13" ht="15.6" x14ac:dyDescent="0.25">
      <c r="A137" s="38"/>
      <c r="C137" s="38"/>
      <c r="D137" s="38"/>
      <c r="E137" s="38"/>
      <c r="F137" s="78"/>
      <c r="G137" s="78"/>
      <c r="H137" s="78"/>
      <c r="I137" s="78"/>
      <c r="J137" s="79"/>
      <c r="K137" s="170"/>
      <c r="L137" s="78"/>
      <c r="M137" s="80"/>
    </row>
    <row r="138" spans="1:13" ht="15.6" x14ac:dyDescent="0.25">
      <c r="A138" s="38"/>
      <c r="C138" s="38"/>
      <c r="D138" s="38"/>
      <c r="E138" s="38"/>
      <c r="F138" s="78"/>
      <c r="G138" s="78"/>
      <c r="H138" s="78"/>
      <c r="I138" s="78"/>
      <c r="J138" s="79"/>
      <c r="K138" s="170"/>
      <c r="L138" s="78"/>
      <c r="M138" s="80"/>
    </row>
    <row r="139" spans="1:13" ht="15.6" x14ac:dyDescent="0.25">
      <c r="A139" s="38"/>
      <c r="C139" s="38"/>
      <c r="D139" s="38"/>
      <c r="E139" s="38"/>
      <c r="F139" s="78"/>
      <c r="G139" s="78"/>
      <c r="H139" s="78"/>
      <c r="I139" s="78"/>
      <c r="J139" s="79"/>
      <c r="K139" s="170"/>
      <c r="L139" s="78"/>
      <c r="M139" s="80"/>
    </row>
    <row r="140" spans="1:13" ht="15.6" x14ac:dyDescent="0.25">
      <c r="A140" s="38"/>
      <c r="C140" s="38"/>
      <c r="D140" s="38"/>
      <c r="E140" s="38"/>
      <c r="F140" s="78"/>
      <c r="G140" s="78"/>
      <c r="H140" s="78"/>
      <c r="I140" s="78"/>
      <c r="J140" s="79"/>
      <c r="K140" s="170"/>
      <c r="L140" s="78"/>
      <c r="M140" s="80"/>
    </row>
    <row r="141" spans="1:13" ht="15.6" x14ac:dyDescent="0.25">
      <c r="A141" s="38"/>
      <c r="C141" s="38"/>
      <c r="D141" s="38"/>
      <c r="E141" s="38"/>
      <c r="F141" s="78"/>
      <c r="G141" s="78"/>
      <c r="H141" s="78"/>
      <c r="I141" s="78"/>
      <c r="J141" s="79"/>
      <c r="K141" s="170"/>
      <c r="L141" s="78"/>
      <c r="M141" s="80"/>
    </row>
    <row r="142" spans="1:13" ht="15.6" x14ac:dyDescent="0.25">
      <c r="A142" s="38"/>
      <c r="C142" s="38"/>
      <c r="D142" s="38"/>
      <c r="E142" s="38"/>
      <c r="F142" s="78"/>
      <c r="G142" s="78"/>
      <c r="H142" s="78"/>
      <c r="I142" s="78"/>
      <c r="J142" s="79"/>
      <c r="K142" s="170"/>
      <c r="L142" s="78"/>
      <c r="M142" s="80"/>
    </row>
    <row r="143" spans="1:13" ht="15.6" x14ac:dyDescent="0.25">
      <c r="A143" s="38"/>
      <c r="C143" s="38"/>
      <c r="D143" s="38"/>
      <c r="E143" s="38"/>
      <c r="F143" s="78"/>
      <c r="G143" s="78"/>
      <c r="H143" s="78"/>
      <c r="I143" s="78"/>
      <c r="J143" s="79"/>
      <c r="K143" s="170"/>
      <c r="L143" s="78"/>
      <c r="M143" s="80"/>
    </row>
    <row r="144" spans="1:13" ht="15.6" x14ac:dyDescent="0.25">
      <c r="A144" s="38"/>
      <c r="C144" s="38"/>
      <c r="D144" s="38"/>
      <c r="E144" s="38"/>
      <c r="F144" s="78"/>
      <c r="G144" s="78"/>
      <c r="H144" s="78"/>
      <c r="I144" s="78"/>
      <c r="J144" s="79"/>
      <c r="K144" s="170"/>
      <c r="L144" s="78"/>
      <c r="M144" s="80"/>
    </row>
    <row r="145" spans="1:13" ht="15.6" x14ac:dyDescent="0.25">
      <c r="A145" s="38"/>
      <c r="C145" s="38"/>
      <c r="D145" s="38"/>
      <c r="E145" s="38"/>
      <c r="F145" s="78"/>
      <c r="G145" s="78"/>
      <c r="H145" s="78"/>
      <c r="I145" s="78"/>
      <c r="J145" s="79"/>
      <c r="K145" s="170"/>
      <c r="L145" s="78"/>
      <c r="M145" s="80"/>
    </row>
    <row r="146" spans="1:13" ht="15.6" x14ac:dyDescent="0.25">
      <c r="A146" s="38"/>
      <c r="C146" s="38"/>
      <c r="D146" s="38"/>
      <c r="E146" s="38"/>
      <c r="F146" s="78"/>
      <c r="G146" s="78"/>
      <c r="H146" s="78"/>
      <c r="I146" s="78"/>
      <c r="J146" s="79"/>
      <c r="K146" s="170"/>
      <c r="L146" s="78"/>
      <c r="M146" s="80"/>
    </row>
    <row r="147" spans="1:13" ht="15.6" x14ac:dyDescent="0.25">
      <c r="A147" s="38"/>
      <c r="C147" s="38"/>
      <c r="D147" s="38"/>
      <c r="E147" s="38"/>
      <c r="F147" s="78"/>
      <c r="G147" s="78"/>
      <c r="H147" s="78"/>
      <c r="I147" s="78"/>
      <c r="J147" s="79"/>
      <c r="K147" s="170"/>
      <c r="L147" s="78"/>
      <c r="M147" s="80"/>
    </row>
    <row r="148" spans="1:13" ht="15.6" x14ac:dyDescent="0.25">
      <c r="A148" s="38"/>
      <c r="C148" s="38"/>
      <c r="D148" s="38"/>
      <c r="E148" s="38"/>
      <c r="F148" s="78"/>
      <c r="G148" s="78"/>
      <c r="H148" s="78"/>
      <c r="I148" s="78"/>
      <c r="J148" s="79"/>
      <c r="K148" s="170"/>
      <c r="L148" s="78"/>
      <c r="M148" s="80"/>
    </row>
    <row r="149" spans="1:13" ht="15.6" x14ac:dyDescent="0.25">
      <c r="A149" s="38"/>
      <c r="C149" s="38"/>
      <c r="D149" s="38"/>
      <c r="E149" s="38"/>
      <c r="F149" s="78"/>
      <c r="G149" s="78"/>
      <c r="H149" s="78"/>
      <c r="I149" s="78"/>
      <c r="J149" s="79"/>
      <c r="K149" s="170"/>
      <c r="L149" s="78"/>
      <c r="M149" s="80"/>
    </row>
    <row r="150" spans="1:13" ht="15.6" x14ac:dyDescent="0.25">
      <c r="A150" s="38"/>
      <c r="C150" s="38"/>
      <c r="D150" s="38"/>
      <c r="E150" s="38"/>
      <c r="F150" s="78"/>
      <c r="G150" s="78"/>
      <c r="H150" s="78"/>
      <c r="I150" s="78"/>
      <c r="J150" s="79"/>
      <c r="K150" s="170"/>
      <c r="L150" s="78"/>
      <c r="M150" s="80"/>
    </row>
    <row r="151" spans="1:13" ht="15.6" x14ac:dyDescent="0.25">
      <c r="A151" s="38"/>
      <c r="C151" s="38"/>
      <c r="D151" s="38"/>
      <c r="E151" s="38"/>
      <c r="F151" s="78"/>
      <c r="G151" s="78"/>
      <c r="H151" s="78"/>
      <c r="I151" s="78"/>
      <c r="J151" s="79"/>
      <c r="K151" s="170"/>
      <c r="L151" s="78"/>
      <c r="M151" s="80"/>
    </row>
    <row r="152" spans="1:13" ht="15.6" x14ac:dyDescent="0.25">
      <c r="A152" s="38"/>
      <c r="C152" s="38"/>
      <c r="D152" s="38"/>
      <c r="E152" s="38"/>
      <c r="F152" s="78"/>
      <c r="G152" s="78"/>
      <c r="H152" s="78"/>
      <c r="I152" s="78"/>
      <c r="J152" s="79"/>
      <c r="K152" s="170"/>
      <c r="L152" s="78"/>
      <c r="M152" s="80"/>
    </row>
    <row r="153" spans="1:13" ht="15.6" x14ac:dyDescent="0.25">
      <c r="A153" s="38"/>
      <c r="C153" s="38"/>
      <c r="D153" s="38"/>
      <c r="E153" s="38"/>
      <c r="F153" s="78"/>
      <c r="G153" s="78"/>
      <c r="H153" s="78"/>
      <c r="I153" s="78"/>
      <c r="J153" s="79"/>
      <c r="K153" s="170"/>
      <c r="L153" s="78"/>
      <c r="M153" s="80"/>
    </row>
    <row r="154" spans="1:13" ht="15.6" x14ac:dyDescent="0.25">
      <c r="A154" s="38"/>
      <c r="C154" s="38"/>
      <c r="D154" s="38"/>
      <c r="E154" s="38"/>
      <c r="F154" s="78"/>
      <c r="G154" s="78"/>
      <c r="H154" s="78"/>
      <c r="I154" s="78"/>
      <c r="J154" s="79"/>
      <c r="K154" s="170"/>
      <c r="L154" s="78"/>
      <c r="M154" s="80"/>
    </row>
    <row r="155" spans="1:13" ht="15.6" x14ac:dyDescent="0.25">
      <c r="A155" s="38"/>
      <c r="C155" s="38"/>
      <c r="D155" s="38"/>
      <c r="E155" s="38"/>
      <c r="F155" s="78"/>
      <c r="G155" s="78"/>
      <c r="H155" s="78"/>
      <c r="I155" s="78"/>
      <c r="J155" s="79"/>
      <c r="K155" s="170"/>
      <c r="L155" s="78"/>
      <c r="M155" s="80"/>
    </row>
    <row r="156" spans="1:13" ht="15.6" x14ac:dyDescent="0.25">
      <c r="A156" s="38"/>
      <c r="C156" s="38"/>
      <c r="D156" s="38"/>
      <c r="E156" s="38"/>
      <c r="F156" s="78"/>
      <c r="G156" s="78"/>
      <c r="H156" s="78"/>
      <c r="I156" s="78"/>
      <c r="J156" s="79"/>
      <c r="K156" s="170"/>
      <c r="L156" s="78"/>
      <c r="M156" s="80"/>
    </row>
    <row r="157" spans="1:13" ht="15.6" x14ac:dyDescent="0.25">
      <c r="A157" s="38"/>
      <c r="C157" s="38"/>
      <c r="D157" s="38"/>
      <c r="E157" s="38"/>
      <c r="F157" s="78"/>
      <c r="G157" s="78"/>
      <c r="H157" s="78"/>
      <c r="I157" s="78"/>
      <c r="J157" s="79"/>
      <c r="K157" s="170"/>
      <c r="L157" s="78"/>
      <c r="M157" s="80"/>
    </row>
    <row r="158" spans="1:13" ht="15.6" x14ac:dyDescent="0.25">
      <c r="A158" s="38"/>
      <c r="C158" s="38"/>
      <c r="D158" s="38"/>
      <c r="E158" s="38"/>
      <c r="F158" s="78"/>
      <c r="G158" s="78"/>
      <c r="H158" s="78"/>
      <c r="I158" s="78"/>
      <c r="J158" s="79"/>
      <c r="K158" s="170"/>
      <c r="L158" s="78"/>
      <c r="M158" s="80"/>
    </row>
    <row r="159" spans="1:13" ht="15.6" x14ac:dyDescent="0.25">
      <c r="A159" s="38"/>
      <c r="C159" s="38"/>
      <c r="D159" s="38"/>
      <c r="E159" s="38"/>
      <c r="F159" s="78"/>
      <c r="G159" s="78"/>
      <c r="H159" s="78"/>
      <c r="I159" s="78"/>
      <c r="J159" s="79"/>
      <c r="K159" s="170"/>
      <c r="L159" s="78"/>
      <c r="M159" s="80"/>
    </row>
    <row r="160" spans="1:13" ht="15.6" x14ac:dyDescent="0.25">
      <c r="A160" s="38"/>
      <c r="C160" s="38"/>
      <c r="D160" s="38"/>
      <c r="E160" s="38"/>
      <c r="F160" s="78"/>
      <c r="G160" s="78"/>
      <c r="H160" s="78"/>
      <c r="I160" s="78"/>
      <c r="J160" s="79"/>
      <c r="K160" s="170"/>
      <c r="L160" s="78"/>
      <c r="M160" s="80"/>
    </row>
    <row r="161" spans="1:13" ht="15.6" x14ac:dyDescent="0.25">
      <c r="A161" s="38"/>
      <c r="C161" s="38"/>
      <c r="D161" s="38"/>
      <c r="E161" s="38"/>
      <c r="F161" s="78"/>
      <c r="G161" s="78"/>
      <c r="H161" s="78"/>
      <c r="I161" s="78"/>
      <c r="J161" s="79"/>
      <c r="K161" s="170"/>
      <c r="L161" s="78"/>
      <c r="M161" s="80"/>
    </row>
    <row r="162" spans="1:13" ht="15.6" x14ac:dyDescent="0.25">
      <c r="A162" s="38"/>
      <c r="C162" s="38"/>
      <c r="D162" s="38"/>
      <c r="E162" s="38"/>
      <c r="F162" s="78"/>
      <c r="G162" s="78"/>
      <c r="H162" s="78"/>
      <c r="I162" s="78"/>
      <c r="J162" s="79"/>
      <c r="K162" s="170"/>
      <c r="L162" s="78"/>
      <c r="M162" s="80"/>
    </row>
    <row r="163" spans="1:13" ht="15.6" x14ac:dyDescent="0.25">
      <c r="A163" s="38"/>
      <c r="C163" s="38"/>
      <c r="D163" s="38"/>
      <c r="E163" s="38"/>
      <c r="F163" s="78"/>
      <c r="G163" s="78"/>
      <c r="H163" s="78"/>
      <c r="I163" s="78"/>
      <c r="J163" s="79"/>
      <c r="K163" s="170"/>
      <c r="L163" s="78"/>
      <c r="M163" s="80"/>
    </row>
    <row r="164" spans="1:13" ht="15.6" x14ac:dyDescent="0.25">
      <c r="A164" s="38"/>
      <c r="C164" s="38"/>
      <c r="D164" s="38"/>
      <c r="E164" s="38"/>
      <c r="F164" s="78"/>
      <c r="G164" s="78"/>
      <c r="H164" s="78"/>
      <c r="I164" s="78"/>
      <c r="J164" s="79"/>
      <c r="K164" s="170"/>
      <c r="L164" s="78"/>
      <c r="M164" s="80"/>
    </row>
    <row r="165" spans="1:13" ht="15.6" x14ac:dyDescent="0.25">
      <c r="A165" s="38"/>
      <c r="C165" s="38"/>
      <c r="D165" s="38"/>
      <c r="E165" s="38"/>
      <c r="F165" s="78"/>
      <c r="G165" s="78"/>
      <c r="H165" s="78"/>
      <c r="I165" s="78"/>
      <c r="J165" s="79"/>
      <c r="K165" s="170"/>
      <c r="L165" s="78"/>
      <c r="M165" s="80"/>
    </row>
    <row r="166" spans="1:13" ht="15.6" x14ac:dyDescent="0.25">
      <c r="A166" s="38"/>
      <c r="C166" s="38"/>
      <c r="D166" s="38"/>
      <c r="E166" s="38"/>
      <c r="F166" s="78"/>
      <c r="G166" s="78"/>
      <c r="H166" s="78"/>
      <c r="I166" s="78"/>
      <c r="J166" s="79"/>
      <c r="K166" s="170"/>
      <c r="L166" s="78"/>
      <c r="M166" s="80"/>
    </row>
    <row r="167" spans="1:13" ht="15.6" x14ac:dyDescent="0.25">
      <c r="A167" s="38"/>
      <c r="C167" s="38"/>
      <c r="D167" s="38"/>
      <c r="E167" s="38"/>
      <c r="F167" s="78"/>
      <c r="G167" s="78"/>
      <c r="H167" s="78"/>
      <c r="I167" s="78"/>
      <c r="J167" s="79"/>
      <c r="K167" s="170"/>
      <c r="L167" s="78"/>
      <c r="M167" s="80"/>
    </row>
    <row r="168" spans="1:13" ht="15.6" x14ac:dyDescent="0.25">
      <c r="A168" s="38"/>
      <c r="C168" s="38"/>
      <c r="D168" s="38"/>
      <c r="E168" s="38"/>
      <c r="F168" s="78"/>
      <c r="G168" s="78"/>
      <c r="H168" s="78"/>
      <c r="I168" s="78"/>
      <c r="J168" s="79"/>
      <c r="K168" s="170"/>
      <c r="L168" s="78"/>
      <c r="M168" s="80"/>
    </row>
    <row r="169" spans="1:13" ht="15.6" x14ac:dyDescent="0.25">
      <c r="A169" s="38"/>
      <c r="C169" s="38"/>
      <c r="D169" s="38"/>
      <c r="E169" s="38"/>
      <c r="F169" s="78"/>
      <c r="G169" s="78"/>
      <c r="H169" s="78"/>
      <c r="I169" s="78"/>
      <c r="J169" s="79"/>
      <c r="K169" s="170"/>
      <c r="L169" s="78"/>
      <c r="M169" s="80"/>
    </row>
    <row r="170" spans="1:13" ht="15.6" x14ac:dyDescent="0.25">
      <c r="A170" s="38"/>
      <c r="C170" s="38"/>
      <c r="D170" s="38"/>
      <c r="E170" s="38"/>
      <c r="F170" s="78"/>
      <c r="G170" s="78"/>
      <c r="H170" s="78"/>
      <c r="I170" s="78"/>
      <c r="J170" s="79"/>
      <c r="K170" s="170"/>
      <c r="L170" s="78"/>
      <c r="M170" s="80"/>
    </row>
    <row r="171" spans="1:13" ht="15.6" x14ac:dyDescent="0.25">
      <c r="A171" s="38"/>
      <c r="C171" s="38"/>
      <c r="D171" s="38"/>
      <c r="E171" s="38"/>
      <c r="F171" s="78"/>
      <c r="G171" s="78"/>
      <c r="H171" s="78"/>
      <c r="I171" s="78"/>
      <c r="J171" s="79"/>
      <c r="K171" s="170"/>
      <c r="L171" s="78"/>
      <c r="M171" s="80"/>
    </row>
    <row r="172" spans="1:13" ht="15.6" x14ac:dyDescent="0.25">
      <c r="A172" s="38"/>
      <c r="C172" s="38"/>
      <c r="D172" s="38"/>
      <c r="E172" s="38"/>
      <c r="F172" s="78"/>
      <c r="G172" s="78"/>
      <c r="H172" s="78"/>
      <c r="I172" s="78"/>
      <c r="J172" s="79"/>
      <c r="K172" s="170"/>
      <c r="L172" s="78"/>
      <c r="M172" s="80"/>
    </row>
    <row r="173" spans="1:13" ht="15.6" x14ac:dyDescent="0.25">
      <c r="A173" s="38"/>
      <c r="C173" s="38"/>
      <c r="D173" s="38"/>
      <c r="E173" s="38"/>
      <c r="F173" s="78"/>
      <c r="G173" s="78"/>
      <c r="H173" s="78"/>
      <c r="I173" s="78"/>
      <c r="J173" s="79"/>
      <c r="K173" s="170"/>
      <c r="L173" s="78"/>
      <c r="M173" s="80"/>
    </row>
    <row r="174" spans="1:13" ht="15.6" x14ac:dyDescent="0.25">
      <c r="A174" s="38"/>
      <c r="C174" s="38"/>
      <c r="D174" s="38"/>
      <c r="E174" s="38"/>
      <c r="F174" s="78"/>
      <c r="G174" s="78"/>
      <c r="H174" s="78"/>
      <c r="I174" s="78"/>
      <c r="J174" s="79"/>
      <c r="K174" s="170"/>
      <c r="L174" s="78"/>
      <c r="M174" s="80"/>
    </row>
    <row r="175" spans="1:13" ht="15.6" x14ac:dyDescent="0.25">
      <c r="A175" s="38"/>
      <c r="C175" s="38"/>
      <c r="D175" s="38"/>
      <c r="E175" s="38"/>
      <c r="F175" s="78"/>
      <c r="G175" s="78"/>
      <c r="H175" s="78"/>
      <c r="I175" s="78"/>
      <c r="J175" s="79"/>
      <c r="K175" s="170"/>
      <c r="L175" s="78"/>
      <c r="M175" s="80"/>
    </row>
    <row r="176" spans="1:13" ht="15.6" x14ac:dyDescent="0.25">
      <c r="A176" s="38"/>
      <c r="C176" s="38"/>
      <c r="D176" s="38"/>
      <c r="E176" s="38"/>
      <c r="F176" s="78"/>
      <c r="G176" s="78"/>
      <c r="H176" s="78"/>
      <c r="I176" s="78"/>
      <c r="J176" s="79"/>
      <c r="K176" s="170"/>
      <c r="L176" s="78"/>
      <c r="M176" s="80"/>
    </row>
    <row r="177" spans="1:13" ht="15.6" x14ac:dyDescent="0.25">
      <c r="A177" s="38"/>
      <c r="C177" s="38"/>
      <c r="D177" s="38"/>
      <c r="E177" s="38"/>
      <c r="F177" s="78"/>
      <c r="G177" s="78"/>
      <c r="H177" s="78"/>
      <c r="I177" s="78"/>
      <c r="J177" s="79"/>
      <c r="K177" s="170"/>
      <c r="L177" s="78"/>
      <c r="M177" s="80"/>
    </row>
    <row r="178" spans="1:13" ht="15.6" x14ac:dyDescent="0.25">
      <c r="A178" s="38"/>
      <c r="C178" s="38"/>
      <c r="D178" s="38"/>
      <c r="E178" s="38"/>
      <c r="F178" s="78"/>
      <c r="G178" s="78"/>
      <c r="H178" s="78"/>
      <c r="I178" s="78"/>
      <c r="J178" s="79"/>
      <c r="K178" s="170"/>
      <c r="L178" s="78"/>
      <c r="M178" s="80"/>
    </row>
    <row r="179" spans="1:13" ht="15.6" x14ac:dyDescent="0.25">
      <c r="A179" s="38"/>
      <c r="C179" s="38"/>
      <c r="D179" s="38"/>
      <c r="E179" s="38"/>
      <c r="F179" s="78"/>
      <c r="G179" s="78"/>
      <c r="H179" s="78"/>
      <c r="I179" s="78"/>
      <c r="J179" s="79"/>
      <c r="K179" s="170"/>
      <c r="L179" s="78"/>
      <c r="M179" s="80"/>
    </row>
    <row r="180" spans="1:13" ht="15.6" x14ac:dyDescent="0.25">
      <c r="A180" s="38"/>
      <c r="C180" s="38"/>
      <c r="D180" s="38"/>
      <c r="E180" s="38"/>
      <c r="F180" s="78"/>
      <c r="G180" s="78"/>
      <c r="H180" s="78"/>
      <c r="I180" s="78"/>
      <c r="J180" s="79"/>
      <c r="K180" s="170"/>
      <c r="L180" s="78"/>
      <c r="M180" s="80"/>
    </row>
    <row r="181" spans="1:13" ht="15.6" x14ac:dyDescent="0.25">
      <c r="A181" s="38"/>
      <c r="C181" s="38"/>
      <c r="D181" s="38"/>
      <c r="E181" s="38"/>
      <c r="F181" s="78"/>
      <c r="G181" s="78"/>
      <c r="H181" s="78"/>
      <c r="I181" s="78"/>
      <c r="J181" s="79"/>
      <c r="K181" s="170"/>
      <c r="L181" s="78"/>
      <c r="M181" s="80"/>
    </row>
    <row r="182" spans="1:13" ht="15.6" x14ac:dyDescent="0.25">
      <c r="A182" s="38"/>
      <c r="C182" s="38"/>
      <c r="D182" s="38"/>
      <c r="E182" s="38"/>
      <c r="F182" s="78"/>
      <c r="G182" s="78"/>
      <c r="H182" s="78"/>
      <c r="I182" s="78"/>
      <c r="J182" s="79"/>
      <c r="K182" s="170"/>
      <c r="L182" s="78"/>
      <c r="M182" s="80"/>
    </row>
    <row r="183" spans="1:13" ht="15.6" x14ac:dyDescent="0.25">
      <c r="A183" s="38"/>
      <c r="C183" s="38"/>
      <c r="D183" s="38"/>
      <c r="E183" s="38"/>
      <c r="F183" s="78"/>
      <c r="G183" s="78"/>
      <c r="H183" s="78"/>
      <c r="I183" s="78"/>
      <c r="J183" s="79"/>
      <c r="K183" s="170"/>
      <c r="L183" s="78"/>
      <c r="M183" s="80"/>
    </row>
    <row r="184" spans="1:13" ht="15.6" x14ac:dyDescent="0.25">
      <c r="A184" s="38"/>
      <c r="C184" s="38"/>
      <c r="D184" s="38"/>
      <c r="E184" s="38"/>
      <c r="F184" s="78"/>
      <c r="G184" s="78"/>
      <c r="H184" s="78"/>
      <c r="I184" s="78"/>
      <c r="J184" s="79"/>
      <c r="K184" s="170"/>
      <c r="L184" s="78"/>
      <c r="M184" s="80"/>
    </row>
    <row r="185" spans="1:13" ht="15.6" x14ac:dyDescent="0.25">
      <c r="A185" s="38"/>
      <c r="C185" s="38"/>
      <c r="D185" s="38"/>
      <c r="E185" s="38"/>
      <c r="F185" s="78"/>
      <c r="G185" s="78"/>
      <c r="H185" s="78"/>
      <c r="I185" s="78"/>
      <c r="J185" s="79"/>
      <c r="K185" s="170"/>
      <c r="L185" s="78"/>
      <c r="M185" s="80"/>
    </row>
    <row r="186" spans="1:13" ht="15.6" x14ac:dyDescent="0.25">
      <c r="A186" s="38"/>
      <c r="C186" s="38"/>
      <c r="D186" s="38"/>
      <c r="E186" s="38"/>
      <c r="F186" s="78"/>
      <c r="G186" s="78"/>
      <c r="H186" s="78"/>
      <c r="I186" s="78"/>
      <c r="J186" s="79"/>
      <c r="K186" s="170"/>
      <c r="L186" s="78"/>
      <c r="M186" s="80"/>
    </row>
    <row r="187" spans="1:13" ht="15.6" x14ac:dyDescent="0.25">
      <c r="A187" s="38"/>
      <c r="C187" s="38"/>
      <c r="D187" s="38"/>
      <c r="E187" s="38"/>
      <c r="F187" s="78"/>
      <c r="G187" s="78"/>
      <c r="H187" s="78"/>
      <c r="I187" s="78"/>
      <c r="J187" s="79"/>
      <c r="K187" s="170"/>
      <c r="L187" s="78"/>
      <c r="M187" s="80"/>
    </row>
    <row r="188" spans="1:13" ht="15.6" x14ac:dyDescent="0.25">
      <c r="A188" s="38"/>
      <c r="C188" s="38"/>
      <c r="D188" s="38"/>
      <c r="E188" s="38"/>
      <c r="F188" s="78"/>
      <c r="G188" s="78"/>
      <c r="H188" s="78"/>
      <c r="I188" s="78"/>
      <c r="J188" s="79"/>
      <c r="K188" s="170"/>
      <c r="L188" s="78"/>
      <c r="M188" s="80"/>
    </row>
  </sheetData>
  <mergeCells count="4">
    <mergeCell ref="A2:N2"/>
    <mergeCell ref="A3:N3"/>
    <mergeCell ref="D67:E67"/>
    <mergeCell ref="A1:N1"/>
  </mergeCells>
  <pageMargins left="0.38" right="0.38" top="0.43307086614173229" bottom="0.59055118110236227" header="0.15748031496062992" footer="0.15748031496062992"/>
  <pageSetup paperSize="256" scale="77" firstPageNumber="0" fitToHeight="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tabSelected="1" view="pageBreakPreview" zoomScale="85" zoomScaleNormal="100" zoomScaleSheetLayoutView="85" workbookViewId="0">
      <pane xSplit="4" ySplit="3" topLeftCell="P4" activePane="bottomRight" state="frozen"/>
      <selection pane="topRight" activeCell="D1" sqref="D1"/>
      <selection pane="bottomLeft" activeCell="A5" sqref="A5"/>
      <selection pane="bottomRight" activeCell="Y7" sqref="Y7"/>
    </sheetView>
  </sheetViews>
  <sheetFormatPr defaultColWidth="8.88671875" defaultRowHeight="13.8" x14ac:dyDescent="0.25"/>
  <cols>
    <col min="1" max="1" width="4.33203125" style="230" customWidth="1"/>
    <col min="2" max="2" width="14.6640625" style="194" customWidth="1"/>
    <col min="3" max="3" width="7.5546875" style="230" customWidth="1"/>
    <col min="4" max="4" width="19.6640625" style="236" customWidth="1"/>
    <col min="5" max="5" width="7.109375" style="230" hidden="1" customWidth="1"/>
    <col min="6" max="6" width="8.33203125" style="240" hidden="1" customWidth="1"/>
    <col min="7" max="8" width="14.88671875" style="230" hidden="1" customWidth="1"/>
    <col min="9" max="9" width="12.5546875" style="230" hidden="1" customWidth="1"/>
    <col min="10" max="10" width="17.6640625" style="234" hidden="1" customWidth="1"/>
    <col min="11" max="11" width="13" style="194" hidden="1" customWidth="1"/>
    <col min="12" max="12" width="13" style="232" hidden="1" customWidth="1"/>
    <col min="13" max="13" width="13.44140625" style="194" hidden="1" customWidth="1"/>
    <col min="14" max="14" width="16.88671875" style="194" hidden="1" customWidth="1"/>
    <col min="15" max="15" width="13.6640625" style="194" hidden="1" customWidth="1"/>
    <col min="16" max="16" width="9.88671875" style="230" customWidth="1"/>
    <col min="17" max="17" width="15.5546875" style="236" customWidth="1"/>
    <col min="18" max="18" width="11.109375" style="237" customWidth="1"/>
    <col min="19" max="19" width="14.33203125" style="237" hidden="1" customWidth="1"/>
    <col min="20" max="20" width="10.21875" style="230" customWidth="1"/>
    <col min="21" max="21" width="8.77734375" style="230" customWidth="1"/>
    <col min="22" max="22" width="20.5546875" style="230" hidden="1" customWidth="1"/>
    <col min="23" max="24" width="10.44140625" style="230" customWidth="1"/>
    <col min="25" max="25" width="8.88671875" style="230"/>
    <col min="26" max="26" width="5.6640625" style="194" customWidth="1"/>
    <col min="27" max="27" width="11.33203125" style="194" customWidth="1"/>
    <col min="28" max="28" width="11.5546875" style="194" customWidth="1"/>
    <col min="29" max="16384" width="8.88671875" style="194"/>
  </cols>
  <sheetData>
    <row r="1" spans="1:43" s="179" customFormat="1" ht="18.75" customHeight="1" x14ac:dyDescent="0.25">
      <c r="A1" s="178"/>
      <c r="B1" s="268" t="s">
        <v>194</v>
      </c>
      <c r="C1" s="268"/>
      <c r="D1" s="268"/>
      <c r="E1" s="268"/>
      <c r="F1" s="268"/>
      <c r="G1" s="268"/>
      <c r="H1" s="268"/>
      <c r="I1" s="268"/>
      <c r="J1" s="268"/>
      <c r="K1" s="268"/>
      <c r="L1" s="268"/>
      <c r="M1" s="268"/>
      <c r="N1" s="268"/>
      <c r="O1" s="268"/>
      <c r="P1" s="268"/>
      <c r="Q1" s="268"/>
      <c r="R1" s="268"/>
      <c r="S1" s="268"/>
      <c r="T1" s="268"/>
      <c r="U1" s="268"/>
      <c r="V1" s="268"/>
      <c r="W1" s="268"/>
      <c r="X1" s="178"/>
      <c r="Y1" s="178"/>
    </row>
    <row r="3" spans="1:43" s="247" customFormat="1" ht="58.5" customHeight="1" x14ac:dyDescent="0.25">
      <c r="A3" s="243" t="s">
        <v>195</v>
      </c>
      <c r="B3" s="243" t="s">
        <v>196</v>
      </c>
      <c r="C3" s="243" t="s">
        <v>0</v>
      </c>
      <c r="D3" s="243" t="s">
        <v>1</v>
      </c>
      <c r="E3" s="243" t="s">
        <v>23</v>
      </c>
      <c r="F3" s="243" t="s">
        <v>155</v>
      </c>
      <c r="G3" s="243" t="s">
        <v>84</v>
      </c>
      <c r="H3" s="243" t="s">
        <v>85</v>
      </c>
      <c r="I3" s="243" t="s">
        <v>147</v>
      </c>
      <c r="J3" s="244" t="s">
        <v>148</v>
      </c>
      <c r="K3" s="243" t="s">
        <v>149</v>
      </c>
      <c r="L3" s="244" t="s">
        <v>152</v>
      </c>
      <c r="M3" s="245" t="s">
        <v>2</v>
      </c>
      <c r="N3" s="243" t="s">
        <v>154</v>
      </c>
      <c r="O3" s="246" t="s">
        <v>153</v>
      </c>
      <c r="P3" s="176" t="s">
        <v>158</v>
      </c>
      <c r="Q3" s="176" t="s">
        <v>159</v>
      </c>
      <c r="R3" s="174" t="s">
        <v>160</v>
      </c>
      <c r="S3" s="174" t="s">
        <v>172</v>
      </c>
      <c r="T3" s="175" t="s">
        <v>161</v>
      </c>
      <c r="U3" s="176" t="s">
        <v>162</v>
      </c>
      <c r="V3" s="176" t="s">
        <v>163</v>
      </c>
      <c r="W3" s="176" t="s">
        <v>164</v>
      </c>
      <c r="X3" s="176" t="s">
        <v>165</v>
      </c>
      <c r="Y3" s="176" t="s">
        <v>166</v>
      </c>
      <c r="Z3" s="177" t="s">
        <v>155</v>
      </c>
      <c r="AA3" s="177" t="s">
        <v>167</v>
      </c>
      <c r="AB3" s="177" t="s">
        <v>168</v>
      </c>
    </row>
    <row r="4" spans="1:43" ht="47.4" customHeight="1" x14ac:dyDescent="0.25">
      <c r="A4" s="180">
        <v>1</v>
      </c>
      <c r="B4" s="181" t="s">
        <v>197</v>
      </c>
      <c r="C4" s="182" t="s">
        <v>114</v>
      </c>
      <c r="D4" s="183" t="s">
        <v>115</v>
      </c>
      <c r="E4" s="184">
        <v>2012</v>
      </c>
      <c r="F4" s="220" t="s">
        <v>21</v>
      </c>
      <c r="G4" s="184"/>
      <c r="H4" s="185">
        <f t="shared" ref="H4:H7" si="0">O4</f>
        <v>0</v>
      </c>
      <c r="I4" s="185"/>
      <c r="J4" s="186">
        <f>100000-3369</f>
        <v>96631</v>
      </c>
      <c r="K4" s="187">
        <f t="shared" ref="K4:K7" si="1">I4+J4</f>
        <v>96631</v>
      </c>
      <c r="L4" s="186">
        <f>K4-M4</f>
        <v>1630.8600000000006</v>
      </c>
      <c r="M4" s="188">
        <v>95000.14</v>
      </c>
      <c r="N4" s="189">
        <v>95000</v>
      </c>
      <c r="O4" s="190"/>
      <c r="P4" s="250">
        <v>40869</v>
      </c>
      <c r="Q4" s="191" t="s">
        <v>169</v>
      </c>
      <c r="R4" s="254">
        <v>93840.19</v>
      </c>
      <c r="S4" s="192">
        <f t="shared" ref="S4:S7" si="2">R4*100/114</f>
        <v>82315.956140350871</v>
      </c>
      <c r="T4" s="258">
        <v>40945</v>
      </c>
      <c r="U4" s="260" t="s">
        <v>170</v>
      </c>
      <c r="V4" s="261" t="s">
        <v>171</v>
      </c>
      <c r="W4" s="250">
        <v>41005</v>
      </c>
      <c r="X4" s="250">
        <v>41146</v>
      </c>
      <c r="Y4" s="263" t="s">
        <v>173</v>
      </c>
      <c r="Z4" s="251" t="s">
        <v>21</v>
      </c>
      <c r="AA4" s="251" t="s">
        <v>127</v>
      </c>
      <c r="AB4" s="193" t="s">
        <v>174</v>
      </c>
      <c r="AD4" s="195"/>
      <c r="AE4" s="193"/>
      <c r="AF4" s="195"/>
      <c r="AG4" s="193"/>
      <c r="AH4" s="195"/>
      <c r="AI4" s="193"/>
      <c r="AJ4" s="196"/>
      <c r="AK4" s="197"/>
      <c r="AL4" s="193"/>
      <c r="AM4" s="193"/>
      <c r="AN4" s="198"/>
      <c r="AO4" s="199"/>
      <c r="AP4" s="200"/>
      <c r="AQ4" s="201"/>
    </row>
    <row r="5" spans="1:43" ht="33" customHeight="1" x14ac:dyDescent="0.25">
      <c r="A5" s="180">
        <v>2</v>
      </c>
      <c r="B5" s="181" t="s">
        <v>199</v>
      </c>
      <c r="C5" s="182" t="s">
        <v>116</v>
      </c>
      <c r="D5" s="183" t="s">
        <v>208</v>
      </c>
      <c r="E5" s="184">
        <v>2012</v>
      </c>
      <c r="F5" s="220" t="s">
        <v>21</v>
      </c>
      <c r="G5" s="184"/>
      <c r="H5" s="185">
        <f t="shared" si="0"/>
        <v>0</v>
      </c>
      <c r="I5" s="185"/>
      <c r="J5" s="186">
        <f>800000+297231</f>
        <v>1097231</v>
      </c>
      <c r="K5" s="187">
        <f t="shared" si="1"/>
        <v>1097231</v>
      </c>
      <c r="L5" s="186">
        <f>K5-M5</f>
        <v>1630.8600000001024</v>
      </c>
      <c r="M5" s="188">
        <v>1095600.1399999999</v>
      </c>
      <c r="N5" s="189">
        <v>1095600</v>
      </c>
      <c r="O5" s="190"/>
      <c r="P5" s="250">
        <v>40869</v>
      </c>
      <c r="Q5" s="191" t="s">
        <v>175</v>
      </c>
      <c r="R5" s="254">
        <v>1248984</v>
      </c>
      <c r="S5" s="192">
        <f t="shared" si="2"/>
        <v>1095600</v>
      </c>
      <c r="T5" s="258">
        <v>40945</v>
      </c>
      <c r="U5" s="260" t="s">
        <v>176</v>
      </c>
      <c r="V5" s="261" t="s">
        <v>177</v>
      </c>
      <c r="W5" s="250">
        <v>41127</v>
      </c>
      <c r="X5" s="249">
        <v>41201</v>
      </c>
      <c r="Y5" s="180" t="s">
        <v>173</v>
      </c>
      <c r="Z5" s="251" t="s">
        <v>21</v>
      </c>
      <c r="AA5" s="251" t="s">
        <v>127</v>
      </c>
      <c r="AB5" s="193" t="s">
        <v>174</v>
      </c>
    </row>
    <row r="6" spans="1:43" ht="48" customHeight="1" x14ac:dyDescent="0.25">
      <c r="A6" s="180">
        <v>3</v>
      </c>
      <c r="B6" s="181" t="s">
        <v>198</v>
      </c>
      <c r="C6" s="197" t="s">
        <v>156</v>
      </c>
      <c r="D6" s="183" t="s">
        <v>157</v>
      </c>
      <c r="E6" s="184">
        <v>2012</v>
      </c>
      <c r="F6" s="220" t="s">
        <v>21</v>
      </c>
      <c r="G6" s="184"/>
      <c r="H6" s="185">
        <f t="shared" si="0"/>
        <v>0</v>
      </c>
      <c r="I6" s="185"/>
      <c r="J6" s="186">
        <f>1600000-158760+250000</f>
        <v>1691240</v>
      </c>
      <c r="K6" s="187">
        <f t="shared" si="1"/>
        <v>1691240</v>
      </c>
      <c r="L6" s="186">
        <f>K6-M6</f>
        <v>846435.26</v>
      </c>
      <c r="M6" s="188">
        <f>594804.74+250000</f>
        <v>844804.74</v>
      </c>
      <c r="N6" s="186">
        <f>594804+250000</f>
        <v>844804</v>
      </c>
      <c r="O6" s="190"/>
      <c r="P6" s="250">
        <v>40869</v>
      </c>
      <c r="Q6" s="252" t="s">
        <v>178</v>
      </c>
      <c r="R6" s="254">
        <v>1926154.03</v>
      </c>
      <c r="S6" s="192">
        <f t="shared" si="2"/>
        <v>1689608.7982456139</v>
      </c>
      <c r="T6" s="259">
        <v>40947</v>
      </c>
      <c r="U6" s="262" t="s">
        <v>179</v>
      </c>
      <c r="V6" s="261" t="s">
        <v>180</v>
      </c>
      <c r="W6" s="250">
        <v>41129</v>
      </c>
      <c r="X6" s="249">
        <v>41201</v>
      </c>
      <c r="Y6" s="180" t="s">
        <v>173</v>
      </c>
      <c r="Z6" s="251" t="s">
        <v>21</v>
      </c>
      <c r="AA6" s="251" t="s">
        <v>127</v>
      </c>
      <c r="AB6" s="193" t="s">
        <v>174</v>
      </c>
    </row>
    <row r="7" spans="1:43" ht="57.6" customHeight="1" x14ac:dyDescent="0.25">
      <c r="A7" s="180">
        <v>4</v>
      </c>
      <c r="B7" s="181" t="s">
        <v>200</v>
      </c>
      <c r="C7" s="182" t="s">
        <v>117</v>
      </c>
      <c r="D7" s="183" t="s">
        <v>94</v>
      </c>
      <c r="E7" s="184">
        <v>2012</v>
      </c>
      <c r="F7" s="220" t="s">
        <v>21</v>
      </c>
      <c r="G7" s="184"/>
      <c r="H7" s="185">
        <f t="shared" si="0"/>
        <v>0</v>
      </c>
      <c r="I7" s="185"/>
      <c r="J7" s="186">
        <f>1200000-61848</f>
        <v>1138152</v>
      </c>
      <c r="K7" s="187">
        <f t="shared" si="1"/>
        <v>1138152</v>
      </c>
      <c r="L7" s="186">
        <f>K7-M7</f>
        <v>569890.93999999994</v>
      </c>
      <c r="M7" s="188">
        <v>568261.06000000006</v>
      </c>
      <c r="N7" s="189">
        <v>568260</v>
      </c>
      <c r="O7" s="190"/>
      <c r="P7" s="250">
        <v>40890</v>
      </c>
      <c r="Q7" s="252" t="s">
        <v>178</v>
      </c>
      <c r="R7" s="254">
        <v>1295632.97</v>
      </c>
      <c r="S7" s="253">
        <f t="shared" si="2"/>
        <v>1136520.149122807</v>
      </c>
      <c r="T7" s="259">
        <v>40947</v>
      </c>
      <c r="U7" s="262" t="s">
        <v>179</v>
      </c>
      <c r="V7" s="261" t="s">
        <v>181</v>
      </c>
      <c r="W7" s="250">
        <v>41129</v>
      </c>
      <c r="X7" s="249">
        <v>41180</v>
      </c>
      <c r="Y7" s="180" t="s">
        <v>173</v>
      </c>
      <c r="Z7" s="251" t="s">
        <v>21</v>
      </c>
      <c r="AA7" s="251" t="s">
        <v>127</v>
      </c>
      <c r="AB7" s="193" t="s">
        <v>174</v>
      </c>
    </row>
    <row r="8" spans="1:43" s="217" customFormat="1" ht="64.2" hidden="1" customHeight="1" x14ac:dyDescent="0.25">
      <c r="A8" s="180">
        <v>5</v>
      </c>
      <c r="B8" s="181"/>
      <c r="C8" s="202" t="s">
        <v>97</v>
      </c>
      <c r="D8" s="203" t="s">
        <v>150</v>
      </c>
      <c r="E8" s="204">
        <v>2012</v>
      </c>
      <c r="F8" s="205" t="s">
        <v>31</v>
      </c>
      <c r="G8" s="206">
        <f t="shared" ref="G8:G9" si="3">O8</f>
        <v>789744</v>
      </c>
      <c r="H8" s="204"/>
      <c r="I8" s="207">
        <v>399255.63</v>
      </c>
      <c r="J8" s="208">
        <f>500000-50000</f>
        <v>450000</v>
      </c>
      <c r="K8" s="209">
        <f t="shared" ref="K8:K9" si="4">I8+J8</f>
        <v>849255.63</v>
      </c>
      <c r="L8" s="210">
        <f t="shared" ref="L8:L9" si="5">K8-M8</f>
        <v>59511.369999999995</v>
      </c>
      <c r="M8" s="211">
        <f>819366-29621.74</f>
        <v>789744.26</v>
      </c>
      <c r="N8" s="212">
        <v>390489</v>
      </c>
      <c r="O8" s="213">
        <v>789744</v>
      </c>
      <c r="P8" s="248"/>
      <c r="Q8" s="215"/>
      <c r="R8" s="255"/>
      <c r="S8" s="216"/>
      <c r="T8" s="248"/>
      <c r="U8" s="248"/>
      <c r="V8" s="248"/>
      <c r="W8" s="248"/>
      <c r="X8" s="248"/>
      <c r="Y8" s="248"/>
      <c r="Z8" s="214"/>
      <c r="AA8" s="214"/>
      <c r="AB8" s="193" t="s">
        <v>174</v>
      </c>
    </row>
    <row r="9" spans="1:43" ht="42" customHeight="1" x14ac:dyDescent="0.25">
      <c r="A9" s="180">
        <v>6</v>
      </c>
      <c r="B9" s="181" t="s">
        <v>204</v>
      </c>
      <c r="C9" s="218" t="s">
        <v>95</v>
      </c>
      <c r="D9" s="219" t="s">
        <v>96</v>
      </c>
      <c r="E9" s="184">
        <v>2012</v>
      </c>
      <c r="F9" s="220" t="s">
        <v>31</v>
      </c>
      <c r="G9" s="185">
        <f t="shared" si="3"/>
        <v>100000</v>
      </c>
      <c r="H9" s="184"/>
      <c r="I9" s="184"/>
      <c r="J9" s="186">
        <f>100000+100000</f>
        <v>200000</v>
      </c>
      <c r="K9" s="187">
        <f t="shared" si="4"/>
        <v>200000</v>
      </c>
      <c r="L9" s="186">
        <f t="shared" si="5"/>
        <v>123933.89</v>
      </c>
      <c r="M9" s="188">
        <v>76066.11</v>
      </c>
      <c r="N9" s="186">
        <v>0</v>
      </c>
      <c r="O9" s="190">
        <v>100000</v>
      </c>
      <c r="P9" s="249">
        <v>40779</v>
      </c>
      <c r="Q9" s="221" t="s">
        <v>187</v>
      </c>
      <c r="R9" s="256">
        <v>100000</v>
      </c>
      <c r="S9" s="222">
        <v>100000</v>
      </c>
      <c r="T9" s="249">
        <v>40826</v>
      </c>
      <c r="U9" s="249">
        <v>41091</v>
      </c>
      <c r="V9" s="180"/>
      <c r="W9" s="249">
        <v>41455</v>
      </c>
      <c r="X9" s="249">
        <f>W9</f>
        <v>41455</v>
      </c>
      <c r="Y9" s="180" t="s">
        <v>188</v>
      </c>
      <c r="Z9" s="181" t="s">
        <v>31</v>
      </c>
      <c r="AA9" s="181" t="s">
        <v>174</v>
      </c>
      <c r="AB9" s="193" t="s">
        <v>174</v>
      </c>
    </row>
    <row r="10" spans="1:43" ht="32.4" customHeight="1" x14ac:dyDescent="0.25">
      <c r="A10" s="180">
        <v>7</v>
      </c>
      <c r="B10" s="181" t="s">
        <v>202</v>
      </c>
      <c r="C10" s="182" t="s">
        <v>98</v>
      </c>
      <c r="D10" s="183" t="s">
        <v>99</v>
      </c>
      <c r="E10" s="223">
        <v>2012</v>
      </c>
      <c r="F10" s="224" t="s">
        <v>30</v>
      </c>
      <c r="G10" s="185"/>
      <c r="H10" s="223"/>
      <c r="I10" s="186">
        <f>1935814.35+459920</f>
        <v>2395734.35</v>
      </c>
      <c r="J10" s="186">
        <v>2200000</v>
      </c>
      <c r="K10" s="187">
        <f>I10+J10</f>
        <v>4595734.3499999996</v>
      </c>
      <c r="L10" s="186">
        <f>K10-M10</f>
        <v>2455011.9699999997</v>
      </c>
      <c r="M10" s="188">
        <v>2140722.38</v>
      </c>
      <c r="N10" s="186">
        <v>1753172</v>
      </c>
      <c r="O10" s="190"/>
      <c r="P10" s="249">
        <v>41037</v>
      </c>
      <c r="Q10" s="221" t="s">
        <v>189</v>
      </c>
      <c r="R10" s="256">
        <v>1726310</v>
      </c>
      <c r="S10" s="222">
        <v>1967993</v>
      </c>
      <c r="T10" s="249">
        <v>41051</v>
      </c>
      <c r="U10" s="249">
        <v>41051</v>
      </c>
      <c r="V10" s="180"/>
      <c r="W10" s="249">
        <v>41174</v>
      </c>
      <c r="X10" s="249">
        <v>41174</v>
      </c>
      <c r="Y10" s="180" t="s">
        <v>188</v>
      </c>
      <c r="Z10" s="181" t="s">
        <v>30</v>
      </c>
      <c r="AA10" s="181" t="s">
        <v>174</v>
      </c>
      <c r="AB10" s="193" t="s">
        <v>174</v>
      </c>
    </row>
    <row r="11" spans="1:43" ht="37.200000000000003" customHeight="1" x14ac:dyDescent="0.25">
      <c r="A11" s="180">
        <v>8</v>
      </c>
      <c r="B11" s="181" t="s">
        <v>203</v>
      </c>
      <c r="C11" s="182" t="s">
        <v>100</v>
      </c>
      <c r="D11" s="183" t="s">
        <v>101</v>
      </c>
      <c r="E11" s="223">
        <v>2012</v>
      </c>
      <c r="F11" s="224" t="s">
        <v>30</v>
      </c>
      <c r="G11" s="185"/>
      <c r="H11" s="223"/>
      <c r="I11" s="186">
        <v>1819637.1</v>
      </c>
      <c r="J11" s="186">
        <v>1500000</v>
      </c>
      <c r="K11" s="187">
        <f>I11+J11</f>
        <v>3319637.1</v>
      </c>
      <c r="L11" s="186">
        <f>K11-M11</f>
        <v>2096511.9100000001</v>
      </c>
      <c r="M11" s="188">
        <v>1223125.19</v>
      </c>
      <c r="N11" s="186">
        <v>1047827</v>
      </c>
      <c r="O11" s="190"/>
      <c r="P11" s="249">
        <v>41037</v>
      </c>
      <c r="Q11" s="221" t="s">
        <v>190</v>
      </c>
      <c r="R11" s="256">
        <v>1596610</v>
      </c>
      <c r="S11" s="222">
        <v>1820136</v>
      </c>
      <c r="T11" s="249">
        <v>41052</v>
      </c>
      <c r="U11" s="249">
        <v>41052</v>
      </c>
      <c r="V11" s="180"/>
      <c r="W11" s="249">
        <v>41175</v>
      </c>
      <c r="X11" s="249">
        <v>41175</v>
      </c>
      <c r="Y11" s="180" t="s">
        <v>188</v>
      </c>
      <c r="Z11" s="181" t="s">
        <v>30</v>
      </c>
      <c r="AA11" s="181" t="s">
        <v>174</v>
      </c>
      <c r="AB11" s="193" t="s">
        <v>174</v>
      </c>
    </row>
    <row r="12" spans="1:43" ht="46.2" customHeight="1" x14ac:dyDescent="0.25">
      <c r="A12" s="180">
        <v>10</v>
      </c>
      <c r="B12" s="181" t="s">
        <v>204</v>
      </c>
      <c r="C12" s="182" t="s">
        <v>102</v>
      </c>
      <c r="D12" s="183" t="s">
        <v>103</v>
      </c>
      <c r="E12" s="184">
        <v>2012</v>
      </c>
      <c r="F12" s="220" t="s">
        <v>10</v>
      </c>
      <c r="G12" s="184"/>
      <c r="H12" s="185"/>
      <c r="I12" s="186">
        <v>76705.3</v>
      </c>
      <c r="J12" s="186">
        <v>1662000</v>
      </c>
      <c r="K12" s="187">
        <f t="shared" ref="K12:K15" si="6">I12+J12</f>
        <v>1738705.3</v>
      </c>
      <c r="L12" s="186">
        <f t="shared" ref="L12:L15" si="7">K12-M12</f>
        <v>1433848.3</v>
      </c>
      <c r="M12" s="188">
        <v>304857</v>
      </c>
      <c r="N12" s="186">
        <v>304065</v>
      </c>
      <c r="O12" s="190"/>
      <c r="P12" s="249">
        <v>40963</v>
      </c>
      <c r="Q12" s="225" t="s">
        <v>185</v>
      </c>
      <c r="R12" s="256">
        <v>1661208</v>
      </c>
      <c r="S12" s="222">
        <v>1893777</v>
      </c>
      <c r="T12" s="249">
        <v>40682</v>
      </c>
      <c r="U12" s="249">
        <v>40877</v>
      </c>
      <c r="V12" s="180"/>
      <c r="W12" s="249">
        <v>41090</v>
      </c>
      <c r="X12" s="249">
        <v>41182</v>
      </c>
      <c r="Y12" s="180" t="s">
        <v>173</v>
      </c>
      <c r="Z12" s="181" t="s">
        <v>184</v>
      </c>
      <c r="AA12" s="181" t="s">
        <v>174</v>
      </c>
      <c r="AB12" s="193" t="s">
        <v>174</v>
      </c>
    </row>
    <row r="13" spans="1:43" s="217" customFormat="1" ht="43.8" customHeight="1" x14ac:dyDescent="0.25">
      <c r="A13" s="180">
        <v>11</v>
      </c>
      <c r="B13" s="181" t="s">
        <v>204</v>
      </c>
      <c r="C13" s="182" t="s">
        <v>104</v>
      </c>
      <c r="D13" s="226" t="s">
        <v>15</v>
      </c>
      <c r="E13" s="204">
        <v>2012</v>
      </c>
      <c r="F13" s="205" t="s">
        <v>22</v>
      </c>
      <c r="G13" s="206"/>
      <c r="H13" s="204"/>
      <c r="I13" s="207">
        <f>186694.4+6086945</f>
        <v>6273639.4000000004</v>
      </c>
      <c r="J13" s="208">
        <f>1500000+500000</f>
        <v>2000000</v>
      </c>
      <c r="K13" s="209">
        <f t="shared" si="6"/>
        <v>8273639.4000000004</v>
      </c>
      <c r="L13" s="227">
        <f t="shared" si="7"/>
        <v>4201801.8900000006</v>
      </c>
      <c r="M13" s="211">
        <f>3898539.56+173297.95</f>
        <v>4071837.5100000002</v>
      </c>
      <c r="N13" s="208">
        <v>0</v>
      </c>
      <c r="O13" s="213">
        <v>4000000</v>
      </c>
      <c r="P13" s="249">
        <v>40793</v>
      </c>
      <c r="Q13" s="221" t="s">
        <v>209</v>
      </c>
      <c r="R13" s="256">
        <v>1593546</v>
      </c>
      <c r="S13" s="222"/>
      <c r="T13" s="249">
        <v>41214</v>
      </c>
      <c r="U13" s="249">
        <v>41214</v>
      </c>
      <c r="V13" s="249"/>
      <c r="W13" s="249">
        <v>48518</v>
      </c>
      <c r="X13" s="249" t="s">
        <v>210</v>
      </c>
      <c r="Y13" s="180" t="s">
        <v>188</v>
      </c>
      <c r="Z13" s="181" t="s">
        <v>59</v>
      </c>
      <c r="AA13" s="229" t="s">
        <v>211</v>
      </c>
      <c r="AB13" s="193" t="s">
        <v>174</v>
      </c>
    </row>
    <row r="14" spans="1:43" ht="47.4" customHeight="1" x14ac:dyDescent="0.25">
      <c r="A14" s="180">
        <v>12</v>
      </c>
      <c r="B14" s="181" t="s">
        <v>205</v>
      </c>
      <c r="C14" s="182" t="s">
        <v>105</v>
      </c>
      <c r="D14" s="183" t="s">
        <v>106</v>
      </c>
      <c r="E14" s="184">
        <v>2012</v>
      </c>
      <c r="F14" s="220" t="s">
        <v>10</v>
      </c>
      <c r="G14" s="185"/>
      <c r="H14" s="184"/>
      <c r="I14" s="184"/>
      <c r="J14" s="186">
        <f>1000000-150000</f>
        <v>850000</v>
      </c>
      <c r="K14" s="187">
        <f t="shared" si="6"/>
        <v>850000</v>
      </c>
      <c r="L14" s="186">
        <f t="shared" si="7"/>
        <v>323575.5</v>
      </c>
      <c r="M14" s="188">
        <v>526424.5</v>
      </c>
      <c r="N14" s="186">
        <v>96424.5</v>
      </c>
      <c r="O14" s="190"/>
      <c r="P14" s="249">
        <v>41003</v>
      </c>
      <c r="Q14" s="221" t="s">
        <v>186</v>
      </c>
      <c r="R14" s="256">
        <v>420000</v>
      </c>
      <c r="S14" s="222">
        <v>420000</v>
      </c>
      <c r="T14" s="249">
        <v>41012</v>
      </c>
      <c r="U14" s="249">
        <v>41090</v>
      </c>
      <c r="V14" s="180"/>
      <c r="W14" s="249">
        <v>41134</v>
      </c>
      <c r="X14" s="249">
        <v>41243</v>
      </c>
      <c r="Y14" s="180" t="s">
        <v>173</v>
      </c>
      <c r="Z14" s="181" t="s">
        <v>184</v>
      </c>
      <c r="AA14" s="181" t="s">
        <v>174</v>
      </c>
      <c r="AB14" s="193" t="s">
        <v>174</v>
      </c>
    </row>
    <row r="15" spans="1:43" ht="33" customHeight="1" x14ac:dyDescent="0.25">
      <c r="A15" s="180">
        <v>13</v>
      </c>
      <c r="B15" s="181" t="s">
        <v>205</v>
      </c>
      <c r="C15" s="218" t="s">
        <v>118</v>
      </c>
      <c r="D15" s="219" t="s">
        <v>107</v>
      </c>
      <c r="E15" s="184">
        <v>2012</v>
      </c>
      <c r="F15" s="220" t="s">
        <v>22</v>
      </c>
      <c r="G15" s="185"/>
      <c r="H15" s="184"/>
      <c r="I15" s="184"/>
      <c r="J15" s="186">
        <v>1700000</v>
      </c>
      <c r="K15" s="187">
        <f t="shared" si="6"/>
        <v>1700000</v>
      </c>
      <c r="L15" s="186">
        <f t="shared" si="7"/>
        <v>0</v>
      </c>
      <c r="M15" s="188">
        <v>1700000</v>
      </c>
      <c r="N15" s="186">
        <v>0</v>
      </c>
      <c r="O15" s="190">
        <v>1700000</v>
      </c>
      <c r="P15" s="249">
        <v>41088</v>
      </c>
      <c r="Q15" s="221" t="s">
        <v>191</v>
      </c>
      <c r="R15" s="256">
        <v>4640667</v>
      </c>
      <c r="S15" s="222">
        <v>5290360</v>
      </c>
      <c r="T15" s="249">
        <v>41088</v>
      </c>
      <c r="U15" s="249">
        <v>41091</v>
      </c>
      <c r="V15" s="180"/>
      <c r="W15" s="249">
        <v>42185</v>
      </c>
      <c r="X15" s="249">
        <f>W15</f>
        <v>42185</v>
      </c>
      <c r="Y15" s="180" t="s">
        <v>188</v>
      </c>
      <c r="Z15" s="181" t="s">
        <v>22</v>
      </c>
      <c r="AA15" s="181" t="s">
        <v>174</v>
      </c>
      <c r="AB15" s="193" t="s">
        <v>174</v>
      </c>
    </row>
    <row r="16" spans="1:43" ht="45.6" customHeight="1" x14ac:dyDescent="0.25">
      <c r="A16" s="180">
        <v>14</v>
      </c>
      <c r="B16" s="181" t="s">
        <v>201</v>
      </c>
      <c r="C16" s="218" t="s">
        <v>108</v>
      </c>
      <c r="D16" s="219" t="s">
        <v>109</v>
      </c>
      <c r="E16" s="184">
        <v>2012</v>
      </c>
      <c r="F16" s="220" t="s">
        <v>32</v>
      </c>
      <c r="G16" s="185"/>
      <c r="H16" s="184"/>
      <c r="I16" s="184"/>
      <c r="J16" s="186">
        <v>450000</v>
      </c>
      <c r="K16" s="187">
        <f>I16+J16</f>
        <v>450000</v>
      </c>
      <c r="L16" s="186">
        <f>K16-M16</f>
        <v>18030.859999999986</v>
      </c>
      <c r="M16" s="188">
        <v>431969.14</v>
      </c>
      <c r="N16" s="189">
        <v>431644</v>
      </c>
      <c r="O16" s="190"/>
      <c r="P16" s="249">
        <v>41235</v>
      </c>
      <c r="Q16" s="221" t="s">
        <v>192</v>
      </c>
      <c r="R16" s="256">
        <v>431644</v>
      </c>
      <c r="S16" s="222">
        <v>431644</v>
      </c>
      <c r="T16" s="249">
        <v>40947</v>
      </c>
      <c r="U16" s="249">
        <v>40947</v>
      </c>
      <c r="V16" s="180"/>
      <c r="W16" s="249">
        <v>41282</v>
      </c>
      <c r="X16" s="249">
        <v>41282</v>
      </c>
      <c r="Y16" s="180" t="s">
        <v>188</v>
      </c>
      <c r="Z16" s="181" t="s">
        <v>193</v>
      </c>
      <c r="AA16" s="269" t="s">
        <v>212</v>
      </c>
      <c r="AB16" s="270" t="s">
        <v>213</v>
      </c>
    </row>
    <row r="17" spans="1:28" s="217" customFormat="1" ht="27.6" customHeight="1" x14ac:dyDescent="0.25">
      <c r="A17" s="180">
        <v>15</v>
      </c>
      <c r="B17" s="181" t="s">
        <v>204</v>
      </c>
      <c r="C17" s="218" t="s">
        <v>110</v>
      </c>
      <c r="D17" s="219" t="s">
        <v>111</v>
      </c>
      <c r="E17" s="204">
        <v>2012</v>
      </c>
      <c r="F17" s="205" t="s">
        <v>10</v>
      </c>
      <c r="G17" s="206"/>
      <c r="H17" s="204"/>
      <c r="I17" s="207">
        <f>36507.73+150000</f>
        <v>186507.73</v>
      </c>
      <c r="J17" s="208">
        <v>150000</v>
      </c>
      <c r="K17" s="209">
        <f>I17+J17</f>
        <v>336507.73</v>
      </c>
      <c r="L17" s="208">
        <f>K17-M17</f>
        <v>79824.27999999997</v>
      </c>
      <c r="M17" s="211">
        <v>256683.45</v>
      </c>
      <c r="N17" s="208">
        <v>218673</v>
      </c>
      <c r="O17" s="213"/>
      <c r="P17" s="248"/>
      <c r="Q17" s="215"/>
      <c r="R17" s="255"/>
      <c r="S17" s="216"/>
      <c r="T17" s="248"/>
      <c r="U17" s="248"/>
      <c r="V17" s="248"/>
      <c r="W17" s="248"/>
      <c r="X17" s="248"/>
      <c r="Y17" s="248"/>
      <c r="Z17" s="214"/>
      <c r="AA17" s="214"/>
      <c r="AB17" s="193" t="s">
        <v>174</v>
      </c>
    </row>
    <row r="18" spans="1:28" ht="31.8" customHeight="1" x14ac:dyDescent="0.25">
      <c r="A18" s="180">
        <v>16</v>
      </c>
      <c r="B18" s="181" t="s">
        <v>206</v>
      </c>
      <c r="C18" s="218" t="s">
        <v>119</v>
      </c>
      <c r="D18" s="219" t="s">
        <v>112</v>
      </c>
      <c r="E18" s="184">
        <v>2012</v>
      </c>
      <c r="F18" s="220" t="s">
        <v>10</v>
      </c>
      <c r="G18" s="185"/>
      <c r="H18" s="184"/>
      <c r="I18" s="184"/>
      <c r="J18" s="186">
        <v>500000</v>
      </c>
      <c r="K18" s="187">
        <f>I18+J18</f>
        <v>500000</v>
      </c>
      <c r="L18" s="228">
        <f>K18-M18</f>
        <v>308862.71999999997</v>
      </c>
      <c r="M18" s="188">
        <v>191137.28</v>
      </c>
      <c r="N18" s="189">
        <v>0</v>
      </c>
      <c r="O18" s="190"/>
      <c r="P18" s="249">
        <v>41037</v>
      </c>
      <c r="Q18" s="221" t="s">
        <v>183</v>
      </c>
      <c r="R18" s="256">
        <v>393145</v>
      </c>
      <c r="S18" s="222">
        <v>448185</v>
      </c>
      <c r="T18" s="249">
        <v>41060</v>
      </c>
      <c r="U18" s="249">
        <v>41005</v>
      </c>
      <c r="V18" s="180"/>
      <c r="W18" s="249">
        <v>41151</v>
      </c>
      <c r="X18" s="249">
        <v>41151</v>
      </c>
      <c r="Y18" s="180" t="s">
        <v>188</v>
      </c>
      <c r="Z18" s="181" t="s">
        <v>184</v>
      </c>
      <c r="AA18" s="181" t="s">
        <v>174</v>
      </c>
      <c r="AB18" s="193" t="s">
        <v>174</v>
      </c>
    </row>
    <row r="19" spans="1:28" ht="72.599999999999994" customHeight="1" x14ac:dyDescent="0.25">
      <c r="A19" s="180">
        <v>17</v>
      </c>
      <c r="B19" s="229" t="s">
        <v>207</v>
      </c>
      <c r="C19" s="218" t="s">
        <v>113</v>
      </c>
      <c r="D19" s="219" t="s">
        <v>151</v>
      </c>
      <c r="E19" s="184">
        <v>2012</v>
      </c>
      <c r="F19" s="220" t="s">
        <v>31</v>
      </c>
      <c r="G19" s="185"/>
      <c r="H19" s="184"/>
      <c r="I19" s="186">
        <v>106535.58</v>
      </c>
      <c r="J19" s="186">
        <v>1000000</v>
      </c>
      <c r="K19" s="187">
        <f>I19+J19</f>
        <v>1106535.58</v>
      </c>
      <c r="L19" s="186">
        <f>K19-M19</f>
        <v>613176.70000000007</v>
      </c>
      <c r="M19" s="188">
        <v>493358.88</v>
      </c>
      <c r="N19" s="189">
        <v>318509</v>
      </c>
      <c r="O19" s="190"/>
      <c r="P19" s="249">
        <v>41263</v>
      </c>
      <c r="Q19" s="221" t="s">
        <v>182</v>
      </c>
      <c r="R19" s="256">
        <v>818509</v>
      </c>
      <c r="S19" s="222">
        <v>993100</v>
      </c>
      <c r="T19" s="249">
        <v>40955</v>
      </c>
      <c r="U19" s="249">
        <f>T19</f>
        <v>40955</v>
      </c>
      <c r="V19" s="180"/>
      <c r="W19" s="249">
        <v>41137</v>
      </c>
      <c r="X19" s="249">
        <f>W19</f>
        <v>41137</v>
      </c>
      <c r="Y19" s="180" t="s">
        <v>188</v>
      </c>
      <c r="Z19" s="181" t="s">
        <v>31</v>
      </c>
      <c r="AA19" s="181" t="s">
        <v>174</v>
      </c>
      <c r="AB19" s="193" t="s">
        <v>174</v>
      </c>
    </row>
    <row r="20" spans="1:28" x14ac:dyDescent="0.25">
      <c r="B20" s="231"/>
      <c r="C20" s="232"/>
      <c r="D20" s="233"/>
      <c r="E20" s="234"/>
      <c r="F20" s="235"/>
      <c r="G20" s="234"/>
      <c r="H20" s="234"/>
      <c r="I20" s="234"/>
      <c r="K20" s="232"/>
      <c r="M20" s="232"/>
      <c r="N20" s="232"/>
      <c r="O20" s="232"/>
      <c r="R20" s="257">
        <f>SUM(R4:R19)</f>
        <v>17946250.189999998</v>
      </c>
    </row>
    <row r="21" spans="1:28" x14ac:dyDescent="0.25">
      <c r="D21" s="233"/>
      <c r="E21" s="234"/>
      <c r="F21" s="235"/>
      <c r="G21" s="234"/>
      <c r="H21" s="234"/>
      <c r="I21" s="234"/>
      <c r="K21" s="232"/>
      <c r="M21" s="232"/>
      <c r="N21" s="232"/>
      <c r="O21" s="232"/>
    </row>
    <row r="22" spans="1:28" x14ac:dyDescent="0.25">
      <c r="D22" s="238"/>
      <c r="E22" s="234"/>
      <c r="F22" s="235"/>
      <c r="G22" s="234"/>
      <c r="H22" s="234"/>
      <c r="I22" s="234"/>
      <c r="K22" s="232"/>
      <c r="M22" s="232"/>
      <c r="N22" s="232"/>
      <c r="O22" s="232"/>
    </row>
    <row r="23" spans="1:28" x14ac:dyDescent="0.25">
      <c r="D23" s="238"/>
      <c r="E23" s="234"/>
      <c r="F23" s="235"/>
      <c r="G23" s="234"/>
      <c r="H23" s="234"/>
      <c r="I23" s="234"/>
      <c r="K23" s="232"/>
      <c r="M23" s="239"/>
      <c r="N23" s="239"/>
      <c r="O23" s="239"/>
    </row>
    <row r="25" spans="1:28" x14ac:dyDescent="0.25">
      <c r="K25" s="241"/>
      <c r="L25" s="239"/>
    </row>
    <row r="27" spans="1:28" x14ac:dyDescent="0.25">
      <c r="K27" s="242"/>
    </row>
  </sheetData>
  <mergeCells count="1">
    <mergeCell ref="B1:W1"/>
  </mergeCells>
  <pageMargins left="0.43307086614173229" right="0.39370078740157483" top="0.39" bottom="0.27" header="0.27559055118110237" footer="0.19685039370078741"/>
  <pageSetup paperSize="9" scale="88" firstPageNumber="0" fitToHeight="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Rollover</vt:lpstr>
      <vt:lpstr>Annexuere D3</vt:lpstr>
      <vt:lpstr>'Annexuere D3'!Print_Area</vt:lpstr>
      <vt:lpstr>Rollover!Print_Area</vt:lpstr>
      <vt:lpstr>'Annexuere D3'!Print_Titles</vt:lpstr>
      <vt:lpstr>Rollover!Print_Titles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jeaniet</dc:creator>
  <cp:lastModifiedBy>Nadine Laubscher</cp:lastModifiedBy>
  <cp:revision>1</cp:revision>
  <cp:lastPrinted>2012-11-06T06:46:25Z</cp:lastPrinted>
  <dcterms:created xsi:type="dcterms:W3CDTF">2004-11-04T12:33:28Z</dcterms:created>
  <dcterms:modified xsi:type="dcterms:W3CDTF">2012-11-12T10:10:43Z</dcterms:modified>
</cp:coreProperties>
</file>